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Investment Solutions\PMS\1st Copy\"/>
    </mc:Choice>
  </mc:AlternateContent>
  <xr:revisionPtr revIDLastSave="0" documentId="13_ncr:1_{6CA8E679-204E-457E-8518-23C3B49D8916}" xr6:coauthVersionLast="47" xr6:coauthVersionMax="47" xr10:uidLastSave="{00000000-0000-0000-0000-000000000000}"/>
  <bookViews>
    <workbookView xWindow="-110" yWindow="-110" windowWidth="19420" windowHeight="10420" activeTab="3" xr2:uid="{8B72B1DD-050F-411F-BAF7-7C0E4423A32E}"/>
  </bookViews>
  <sheets>
    <sheet name="PLAN - A " sheetId="3" r:id="rId1"/>
    <sheet name="PLAN - B" sheetId="1" r:id="rId2"/>
    <sheet name="PLAN - C" sheetId="4" r:id="rId3"/>
    <sheet name="PLAN - D"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4" l="1"/>
  <c r="B40" i="3"/>
  <c r="B41" i="3" s="1"/>
  <c r="B42" i="3" s="1"/>
  <c r="B43" i="3" s="1"/>
  <c r="B44" i="3" s="1"/>
  <c r="B45" i="3" s="1"/>
  <c r="B46" i="3" s="1"/>
  <c r="B40" i="4"/>
  <c r="B41" i="4" s="1"/>
  <c r="B42" i="4" s="1"/>
  <c r="B43" i="4" s="1"/>
  <c r="B44" i="4" s="1"/>
  <c r="B45" i="4" s="1"/>
  <c r="B46" i="4" s="1"/>
  <c r="B47" i="4" s="1"/>
  <c r="B48" i="4" s="1"/>
  <c r="B49" i="4" s="1"/>
  <c r="N9" i="2"/>
  <c r="L9" i="2"/>
  <c r="N24" i="4"/>
  <c r="N25" i="4" s="1"/>
  <c r="N11" i="4"/>
  <c r="L24" i="4"/>
  <c r="L25" i="4" s="1"/>
  <c r="L14" i="4"/>
  <c r="L16" i="4" s="1"/>
  <c r="L13" i="4"/>
  <c r="L12" i="4"/>
  <c r="L11" i="4"/>
  <c r="N24" i="1"/>
  <c r="N11" i="1"/>
  <c r="L11" i="1"/>
  <c r="N11" i="3"/>
  <c r="L11" i="3"/>
  <c r="J9" i="2"/>
  <c r="H9" i="2"/>
  <c r="F9" i="2"/>
  <c r="J24" i="4"/>
  <c r="H24" i="4"/>
  <c r="J11" i="4"/>
  <c r="H11" i="4"/>
  <c r="F11" i="4"/>
  <c r="J11" i="1"/>
  <c r="H11" i="1"/>
  <c r="F11" i="1"/>
  <c r="L19" i="4" l="1"/>
  <c r="L18" i="4"/>
  <c r="J11" i="3"/>
  <c r="H11" i="3"/>
  <c r="F11" i="3"/>
  <c r="B26" i="2"/>
  <c r="B27" i="2" s="1"/>
  <c r="B28" i="2" s="1"/>
  <c r="B29" i="2" s="1"/>
  <c r="B30" i="2" s="1"/>
  <c r="B31" i="2" s="1"/>
  <c r="F10" i="2"/>
  <c r="B39" i="4"/>
  <c r="F24" i="4"/>
  <c r="B39" i="3"/>
  <c r="F12" i="3"/>
  <c r="F24" i="3" s="1"/>
  <c r="B39" i="1"/>
  <c r="B40" i="1" s="1"/>
  <c r="B41" i="1" s="1"/>
  <c r="B42" i="1" s="1"/>
  <c r="B43" i="1" s="1"/>
  <c r="B44" i="1" s="1"/>
  <c r="B45" i="1" s="1"/>
  <c r="B46" i="1" s="1"/>
  <c r="B47" i="1" s="1"/>
  <c r="B48" i="1" s="1"/>
  <c r="F12" i="1"/>
  <c r="F24" i="1" s="1"/>
  <c r="L21" i="4" l="1"/>
  <c r="L23" i="4" s="1"/>
  <c r="L20" i="4"/>
  <c r="F11" i="2"/>
  <c r="F12" i="2" s="1"/>
  <c r="F25" i="4"/>
  <c r="F13" i="4"/>
  <c r="F14" i="4" s="1"/>
  <c r="F25" i="3"/>
  <c r="F13" i="3"/>
  <c r="F14" i="3" s="1"/>
  <c r="H24" i="3" s="1"/>
  <c r="F25" i="1"/>
  <c r="F13" i="1"/>
  <c r="F14" i="1" s="1"/>
  <c r="H24" i="1" s="1"/>
  <c r="H25" i="1" s="1"/>
  <c r="L35" i="4" l="1"/>
  <c r="L26" i="4"/>
  <c r="L28" i="4" s="1"/>
  <c r="L29" i="4" s="1"/>
  <c r="L31" i="4" s="1"/>
  <c r="N12" i="4" s="1"/>
  <c r="F14" i="2"/>
  <c r="F16" i="4"/>
  <c r="F16" i="3"/>
  <c r="F19" i="3" s="1"/>
  <c r="F16" i="1"/>
  <c r="N13" i="4" l="1"/>
  <c r="N14" i="4" s="1"/>
  <c r="N16" i="4" s="1"/>
  <c r="L32" i="4"/>
  <c r="L34" i="4"/>
  <c r="F17" i="2"/>
  <c r="F16" i="2"/>
  <c r="F19" i="4"/>
  <c r="F18" i="4"/>
  <c r="F18" i="3"/>
  <c r="F19" i="1"/>
  <c r="F18" i="1"/>
  <c r="F20" i="1"/>
  <c r="N19" i="4" l="1"/>
  <c r="N18" i="4"/>
  <c r="N20" i="4" s="1"/>
  <c r="F18" i="2"/>
  <c r="F19" i="2" s="1"/>
  <c r="F21" i="2" s="1"/>
  <c r="F20" i="4"/>
  <c r="F21" i="4" s="1"/>
  <c r="F23" i="4" s="1"/>
  <c r="F20" i="3"/>
  <c r="F21" i="3" s="1"/>
  <c r="F21" i="1"/>
  <c r="F23" i="1" s="1"/>
  <c r="F22" i="2" l="1"/>
  <c r="H10" i="2"/>
  <c r="H11" i="2" s="1"/>
  <c r="H12" i="2" s="1"/>
  <c r="H14" i="2" s="1"/>
  <c r="N21" i="4"/>
  <c r="N23" i="4" s="1"/>
  <c r="F23" i="3"/>
  <c r="F26" i="3" s="1"/>
  <c r="F28" i="3" s="1"/>
  <c r="F29" i="3" s="1"/>
  <c r="F35" i="4"/>
  <c r="F26" i="4"/>
  <c r="F28" i="4" s="1"/>
  <c r="F29" i="4" s="1"/>
  <c r="F31" i="4" s="1"/>
  <c r="H12" i="4" s="1"/>
  <c r="F35" i="1"/>
  <c r="F26" i="1"/>
  <c r="F28" i="1" s="1"/>
  <c r="F29" i="1" s="1"/>
  <c r="F31" i="1" s="1"/>
  <c r="H12" i="1" s="1"/>
  <c r="H17" i="2" l="1"/>
  <c r="H16" i="2"/>
  <c r="H18" i="2"/>
  <c r="H19" i="2" s="1"/>
  <c r="H21" i="2" s="1"/>
  <c r="N35" i="4"/>
  <c r="N26" i="4"/>
  <c r="N28" i="4" s="1"/>
  <c r="N29" i="4" s="1"/>
  <c r="N31" i="4" s="1"/>
  <c r="F31" i="3"/>
  <c r="F32" i="3" s="1"/>
  <c r="F35" i="3"/>
  <c r="H25" i="4"/>
  <c r="H13" i="4"/>
  <c r="H14" i="4" s="1"/>
  <c r="H16" i="4"/>
  <c r="H13" i="1"/>
  <c r="H14" i="1" s="1"/>
  <c r="J24" i="1" s="1"/>
  <c r="J25" i="1" s="1"/>
  <c r="F32" i="4"/>
  <c r="F34" i="4"/>
  <c r="F32" i="1"/>
  <c r="F34" i="1"/>
  <c r="H22" i="2" l="1"/>
  <c r="J10" i="2"/>
  <c r="N32" i="4"/>
  <c r="N34" i="4"/>
  <c r="H12" i="3"/>
  <c r="H13" i="3" s="1"/>
  <c r="H14" i="3" s="1"/>
  <c r="J24" i="3" s="1"/>
  <c r="F34" i="3"/>
  <c r="H19" i="4"/>
  <c r="H18" i="4"/>
  <c r="H20" i="4" s="1"/>
  <c r="H21" i="4" s="1"/>
  <c r="H23" i="4" s="1"/>
  <c r="H16" i="1"/>
  <c r="H25" i="3"/>
  <c r="H16" i="3" l="1"/>
  <c r="H18" i="3" s="1"/>
  <c r="J11" i="2"/>
  <c r="J12" i="2"/>
  <c r="J14" i="2" s="1"/>
  <c r="H35" i="4"/>
  <c r="H26" i="4"/>
  <c r="H28" i="4" s="1"/>
  <c r="H29" i="4" s="1"/>
  <c r="H31" i="4" s="1"/>
  <c r="H19" i="1"/>
  <c r="H18" i="1"/>
  <c r="H19" i="3" l="1"/>
  <c r="H20" i="3" s="1"/>
  <c r="H21" i="3" s="1"/>
  <c r="H23" i="3" s="1"/>
  <c r="J17" i="2"/>
  <c r="J16" i="2"/>
  <c r="J18" i="2" s="1"/>
  <c r="J19" i="2" s="1"/>
  <c r="J21" i="2" s="1"/>
  <c r="J12" i="4"/>
  <c r="H32" i="4"/>
  <c r="H34" i="4"/>
  <c r="H20" i="1"/>
  <c r="H21" i="1" s="1"/>
  <c r="H23" i="1" s="1"/>
  <c r="J22" i="2" l="1"/>
  <c r="L10" i="2"/>
  <c r="J13" i="4"/>
  <c r="J14" i="4"/>
  <c r="J16" i="4" s="1"/>
  <c r="H26" i="1"/>
  <c r="H28" i="1" s="1"/>
  <c r="H29" i="1" s="1"/>
  <c r="H31" i="1" s="1"/>
  <c r="H35" i="1"/>
  <c r="H26" i="3"/>
  <c r="H28" i="3" s="1"/>
  <c r="H29" i="3" s="1"/>
  <c r="H31" i="3" s="1"/>
  <c r="H35" i="3"/>
  <c r="J25" i="3"/>
  <c r="L11" i="2" l="1"/>
  <c r="L12" i="2" s="1"/>
  <c r="J18" i="4"/>
  <c r="J19" i="4"/>
  <c r="J20" i="4"/>
  <c r="J21" i="4" s="1"/>
  <c r="J23" i="4" s="1"/>
  <c r="J25" i="4"/>
  <c r="J12" i="1"/>
  <c r="H32" i="1"/>
  <c r="H34" i="1"/>
  <c r="J12" i="3"/>
  <c r="J13" i="3" s="1"/>
  <c r="J14" i="3" s="1"/>
  <c r="L24" i="3" s="1"/>
  <c r="H32" i="3"/>
  <c r="H34" i="3"/>
  <c r="L14" i="2" l="1"/>
  <c r="J16" i="3"/>
  <c r="J19" i="3" s="1"/>
  <c r="J26" i="4"/>
  <c r="J28" i="4" s="1"/>
  <c r="J29" i="4" s="1"/>
  <c r="J31" i="4" s="1"/>
  <c r="J35" i="4"/>
  <c r="J13" i="1"/>
  <c r="J14" i="1" s="1"/>
  <c r="L24" i="1" s="1"/>
  <c r="J16" i="1"/>
  <c r="L17" i="2" l="1"/>
  <c r="L16" i="2"/>
  <c r="L25" i="1"/>
  <c r="J18" i="3"/>
  <c r="J20" i="3" s="1"/>
  <c r="J21" i="3" s="1"/>
  <c r="J23" i="3" s="1"/>
  <c r="J35" i="3" s="1"/>
  <c r="L25" i="3"/>
  <c r="J32" i="4"/>
  <c r="J34" i="4"/>
  <c r="J18" i="1"/>
  <c r="J19" i="1"/>
  <c r="J20" i="1" s="1"/>
  <c r="L18" i="2" l="1"/>
  <c r="L19" i="2" s="1"/>
  <c r="L21" i="2" s="1"/>
  <c r="J26" i="3"/>
  <c r="J28" i="3" s="1"/>
  <c r="J29" i="3" s="1"/>
  <c r="J31" i="3" s="1"/>
  <c r="L12" i="3" s="1"/>
  <c r="J21" i="1"/>
  <c r="J23" i="1" s="1"/>
  <c r="L22" i="2" l="1"/>
  <c r="N10" i="2"/>
  <c r="J34" i="3"/>
  <c r="L13" i="3"/>
  <c r="L14" i="3" s="1"/>
  <c r="N24" i="3" s="1"/>
  <c r="J32" i="3"/>
  <c r="J35" i="1"/>
  <c r="J26" i="1"/>
  <c r="J28" i="1" s="1"/>
  <c r="J29" i="1" s="1"/>
  <c r="J31" i="1" s="1"/>
  <c r="L12" i="1" s="1"/>
  <c r="N11" i="2" l="1"/>
  <c r="N12" i="2" s="1"/>
  <c r="N14" i="2" s="1"/>
  <c r="L13" i="1"/>
  <c r="L14" i="1" s="1"/>
  <c r="N25" i="3"/>
  <c r="L16" i="3"/>
  <c r="J32" i="1"/>
  <c r="J34" i="1"/>
  <c r="N17" i="2" l="1"/>
  <c r="N16" i="2"/>
  <c r="N18" i="2"/>
  <c r="L16" i="1"/>
  <c r="L19" i="3"/>
  <c r="L18" i="3"/>
  <c r="N19" i="2" l="1"/>
  <c r="N21" i="2" s="1"/>
  <c r="N22" i="2" s="1"/>
  <c r="N25" i="1"/>
  <c r="L19" i="1"/>
  <c r="L18" i="1"/>
  <c r="L20" i="1" s="1"/>
  <c r="L21" i="1" s="1"/>
  <c r="L23" i="1" s="1"/>
  <c r="L20" i="3"/>
  <c r="L21" i="3" s="1"/>
  <c r="L23" i="3" s="1"/>
  <c r="L35" i="1" l="1"/>
  <c r="L26" i="1"/>
  <c r="L28" i="1" s="1"/>
  <c r="L29" i="1" s="1"/>
  <c r="L31" i="1" s="1"/>
  <c r="L35" i="3"/>
  <c r="L26" i="3"/>
  <c r="L28" i="3" s="1"/>
  <c r="L29" i="3" s="1"/>
  <c r="L31" i="3" s="1"/>
  <c r="N12" i="3" s="1"/>
  <c r="N12" i="1" l="1"/>
  <c r="L32" i="1"/>
  <c r="L34" i="1"/>
  <c r="N13" i="3"/>
  <c r="N14" i="3" s="1"/>
  <c r="N16" i="3" s="1"/>
  <c r="L32" i="3"/>
  <c r="L34" i="3"/>
  <c r="N13" i="1" l="1"/>
  <c r="N14" i="1" s="1"/>
  <c r="N19" i="3"/>
  <c r="N18" i="3"/>
  <c r="N20" i="3" l="1"/>
  <c r="N21" i="3" s="1"/>
  <c r="N23" i="3" s="1"/>
  <c r="N16" i="1"/>
  <c r="N35" i="3"/>
  <c r="N26" i="3"/>
  <c r="N28" i="3" s="1"/>
  <c r="N29" i="3" s="1"/>
  <c r="N31" i="3" s="1"/>
  <c r="N19" i="1" l="1"/>
  <c r="N18" i="1"/>
  <c r="N20" i="1"/>
  <c r="N32" i="3"/>
  <c r="N34" i="3"/>
  <c r="N21" i="1" l="1"/>
  <c r="N23" i="1" s="1"/>
  <c r="N35" i="1" l="1"/>
  <c r="N26" i="1"/>
  <c r="N28" i="1" s="1"/>
  <c r="N29" i="1" s="1"/>
  <c r="N31" i="1" s="1"/>
  <c r="N32" i="1" l="1"/>
  <c r="N34" i="1"/>
</calcChain>
</file>

<file path=xl/sharedStrings.xml><?xml version="1.0" encoding="utf-8"?>
<sst xmlns="http://schemas.openxmlformats.org/spreadsheetml/2006/main" count="312" uniqueCount="96">
  <si>
    <t>Assumptions</t>
  </si>
  <si>
    <t>Capital Contribution (Rs.)</t>
  </si>
  <si>
    <t>a</t>
  </si>
  <si>
    <t>Management Fee (%age per annum)</t>
  </si>
  <si>
    <t>b</t>
  </si>
  <si>
    <t>Other Expenses (%age per annum)</t>
  </si>
  <si>
    <t>c</t>
  </si>
  <si>
    <t>Performance (%age per annum)</t>
  </si>
  <si>
    <t>d</t>
  </si>
  <si>
    <t>Hurdle Rate of Return (%age per annum)</t>
  </si>
  <si>
    <t>e</t>
  </si>
  <si>
    <t>Brokerage and Transaction cost</t>
  </si>
  <si>
    <t>f</t>
  </si>
  <si>
    <t>Hybrid Fee Illustration</t>
  </si>
  <si>
    <t xml:space="preserve">Capital Contributed / Assets under Management </t>
  </si>
  <si>
    <t>i</t>
  </si>
  <si>
    <t>i = a</t>
  </si>
  <si>
    <t xml:space="preserve">Gain / (Loss) on Investment based on the Scenario </t>
  </si>
  <si>
    <t>ii</t>
  </si>
  <si>
    <t>ii= i*Scenario</t>
  </si>
  <si>
    <t xml:space="preserve">Gross Value of the Portfolio at the end of the year </t>
  </si>
  <si>
    <t>iii</t>
  </si>
  <si>
    <t>iii= I + ii</t>
  </si>
  <si>
    <t xml:space="preserve">Daily Weighted Average assets under management </t>
  </si>
  <si>
    <t>iv</t>
  </si>
  <si>
    <t>iv= (i + iii) / 2</t>
  </si>
  <si>
    <t>Other Expense</t>
  </si>
  <si>
    <t>v</t>
  </si>
  <si>
    <t>v= iv x c</t>
  </si>
  <si>
    <t>vi</t>
  </si>
  <si>
    <t>vi= iv x f</t>
  </si>
  <si>
    <t xml:space="preserve">Management Fees </t>
  </si>
  <si>
    <t>vii</t>
  </si>
  <si>
    <t>vii = (iv + v + vi) x b</t>
  </si>
  <si>
    <t>Total charges before Performance fee.</t>
  </si>
  <si>
    <t>viii</t>
  </si>
  <si>
    <t>viii = v + vi + vii</t>
  </si>
  <si>
    <t>Gross Value of the Portfolio before Performance fee</t>
  </si>
  <si>
    <t>ix</t>
  </si>
  <si>
    <t>ix = iii + viii</t>
  </si>
  <si>
    <t>High Water Mark Value (HWM) (Capital contributed for 1st year and second year onwards as defined in the PMS agreement.</t>
  </si>
  <si>
    <t>x</t>
  </si>
  <si>
    <t>Hurdle Rate of return or as defined in the PMS agreement</t>
  </si>
  <si>
    <t>xi</t>
  </si>
  <si>
    <t>xi = i x e</t>
  </si>
  <si>
    <t>Gross Value of the Portfolio before Performance fee is greater than High Water Mark Value + Hurdle rate of return</t>
  </si>
  <si>
    <t>xii</t>
  </si>
  <si>
    <t>xii = ix &gt; (x+xi) then Yes else No P Fees</t>
  </si>
  <si>
    <r>
      <t xml:space="preserve">If </t>
    </r>
    <r>
      <rPr>
        <b/>
        <sz val="11"/>
        <color theme="1"/>
        <rFont val="Aptos Narrow"/>
        <family val="2"/>
        <scheme val="minor"/>
      </rPr>
      <t>Yes, proceed to performance fee calculation else 0 (zero) performance fee for the period)</t>
    </r>
  </si>
  <si>
    <t>Portfolio return subject of Performance Fee</t>
  </si>
  <si>
    <t>xiii</t>
  </si>
  <si>
    <t>xiii = ix - x - xi</t>
  </si>
  <si>
    <t>Performance fee</t>
  </si>
  <si>
    <t>xiv</t>
  </si>
  <si>
    <t>xiv = xiii x d</t>
  </si>
  <si>
    <t>Net value of the Portfolio at the end of the year after all fees and expenses</t>
  </si>
  <si>
    <t>xv</t>
  </si>
  <si>
    <t>xv = ix + xiv</t>
  </si>
  <si>
    <t xml:space="preserve">% Portfolio Return </t>
  </si>
  <si>
    <t>xvi</t>
  </si>
  <si>
    <t>xvi = ((xv - i) / i) %</t>
  </si>
  <si>
    <r>
      <t>High Water Mark to be carried forward for next year.</t>
    </r>
    <r>
      <rPr>
        <b/>
        <sz val="11"/>
        <color theme="1"/>
        <rFont val="Aptos Narrow"/>
        <family val="2"/>
        <scheme val="minor"/>
      </rPr>
      <t xml:space="preserve"> When performance fee is charged from the portfolio itself</t>
    </r>
    <r>
      <rPr>
        <sz val="11"/>
        <color theme="1"/>
        <rFont val="Aptos Narrow"/>
        <family val="2"/>
        <scheme val="minor"/>
      </rPr>
      <t>.</t>
    </r>
  </si>
  <si>
    <t>xvii</t>
  </si>
  <si>
    <t>xvii = Max (x , xv)</t>
  </si>
  <si>
    <r>
      <t xml:space="preserve">High Water Mark to be carried forward for next year. </t>
    </r>
    <r>
      <rPr>
        <b/>
        <sz val="11"/>
        <color theme="1"/>
        <rFont val="Aptos Narrow"/>
        <family val="2"/>
        <scheme val="minor"/>
      </rPr>
      <t>When performance fee is paid separately by the investor to the PM</t>
    </r>
    <r>
      <rPr>
        <sz val="11"/>
        <color theme="1"/>
        <rFont val="Aptos Narrow"/>
        <family val="2"/>
        <scheme val="minor"/>
      </rPr>
      <t>.</t>
    </r>
  </si>
  <si>
    <t>xvii = Max (ix , x)</t>
  </si>
  <si>
    <t xml:space="preserve">Notes: </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</si>
  <si>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</si>
  <si>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 xml:space="preserve">Portfolio Manager can charge Management Fee on Average portfolio value for the management fee period or the closing portfolio value or in any other manner as defined in the PMS agreement. </t>
  </si>
  <si>
    <t>Returns are assumed to be generated linearly through the year.</t>
  </si>
  <si>
    <t>Other Expenses includes Account Opening charges, stamp duty /Audit Fee/ Bank charges / Fund Accounting charges / Custody Fee / demat charges or other miscellaneous expense</t>
  </si>
  <si>
    <t xml:space="preserve">Brokerage and transaction cost for the illustration purpose is charged on the Average AUM. However, Brokerage and Transaction cost are charged on basis the actuals trades. </t>
  </si>
  <si>
    <t>All Fees and charges are subject to GST.</t>
  </si>
  <si>
    <t xml:space="preserve">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 </t>
  </si>
  <si>
    <t xml:space="preserve">For this illustration, Hurdle rate is calculated on Higher of (HWM or previous year closing capital). However, in actual Hurdle Rate of return is defined in the PMS agreement and may differ from this illustration. </t>
  </si>
  <si>
    <t>Hurdle rate is prorated in case the performance fee period is less than 1 year OR if there are inflow/outflows from the portfolio</t>
  </si>
  <si>
    <t>The above illustration shows the High Water Mark to be carried forward in different scenario for equal and fair treatment to the investor.</t>
  </si>
  <si>
    <t>This is only a generic illustration, each portfolio manager can modify the illustration as per the terms and condition of their PMS agreement.</t>
  </si>
  <si>
    <t xml:space="preserve">Portfolio Managers are advised to also refer to the illustrations provided in Annexure 4A of Master Circular for Portfolio Managers dated June 07, 2024. </t>
  </si>
  <si>
    <t xml:space="preserve">Other Expenses </t>
  </si>
  <si>
    <t>Fixed Fee Illustraion</t>
  </si>
  <si>
    <t xml:space="preserve">Average assets under management </t>
  </si>
  <si>
    <t>vi = (iv x d)</t>
  </si>
  <si>
    <t xml:space="preserve">Total charges during the year </t>
  </si>
  <si>
    <t xml:space="preserve">Net value of the Portfolio at the end of the year </t>
  </si>
  <si>
    <t>x = ((ix - i) / i) %</t>
  </si>
  <si>
    <t>Annual Management Fee is split in 4 parts and charged at the end of every quarter.</t>
  </si>
  <si>
    <t>Annual management fee is charged on the quarterly average value of the portfolio.</t>
  </si>
  <si>
    <t xml:space="preserve">High Water Mark for the 1st Year is the Capital invested and from second year onwards if performance fee is charged, it’s the year end closing value after all charges and fees, else it remains the same.  </t>
  </si>
  <si>
    <t xml:space="preserve">Hurdle rate is prorated in case the performance fee period is less than 1 year </t>
  </si>
  <si>
    <t>Year 1</t>
  </si>
  <si>
    <t>Year 2</t>
  </si>
  <si>
    <t>Year 3</t>
  </si>
  <si>
    <t>Year 4</t>
  </si>
  <si>
    <t>Year 5</t>
  </si>
  <si>
    <t>Cells marked in  GREY can be edited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</si>
</sst>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_ ;[Red]\-#,##0\ "/>
    <numFmt numFmtId="165" formatCode="#,##0.00_ ;[Red]\-#,##0.00\ "/>
    <numFmt numFmtId="166" formatCode="_ * #,##0_ ;_ * \-#,##0_ ;_ * &quot;-&quot;??_ ;_ @_ "/>
  </numFmts>
  <fonts count="3" x14ac:knownFonts="1">
    <font>
      <sz val="11"/>
      <color theme="1"/>
      <name val="Aptos Narrow"/>
      <family val="2"/>
      <scheme val="minor"/>
    </font>
    <font>
      <sz val="11"/>
      <color theme="1"/>
      <name val="Aptos Narrow"/>
      <family val="2"/>
      <scheme val="minor"/>
    </font>
    <font>
      <b/>
      <sz val="11"/>
      <color theme="1"/>
      <name val="Aptos Narrow"/>
      <family val="2"/>
      <scheme val="minor"/>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30">
    <xf numFmtId="0" fontId="0" fillId="0" borderId="0" xfId="0"/>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vertical="center"/>
    </xf>
    <xf numFmtId="0" fontId="2" fillId="0" borderId="1" xfId="0" applyFont="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vertical="center"/>
    </xf>
    <xf numFmtId="0" fontId="0" fillId="0" borderId="6" xfId="0" applyBorder="1" applyAlignment="1">
      <alignment vertical="center"/>
    </xf>
    <xf numFmtId="0" fontId="0" fillId="0" borderId="5" xfId="0" applyBorder="1" applyAlignment="1">
      <alignment vertical="center" wrapText="1"/>
    </xf>
    <xf numFmtId="10" fontId="0" fillId="0" borderId="7" xfId="0" applyNumberFormat="1" applyBorder="1" applyAlignment="1">
      <alignment vertical="center"/>
    </xf>
    <xf numFmtId="0" fontId="0" fillId="0" borderId="7" xfId="0" applyBorder="1" applyAlignment="1">
      <alignment vertical="center"/>
    </xf>
    <xf numFmtId="0" fontId="2" fillId="0" borderId="5" xfId="0" applyFont="1" applyBorder="1" applyAlignment="1">
      <alignment horizontal="right" vertical="center"/>
    </xf>
    <xf numFmtId="0" fontId="0" fillId="0" borderId="5" xfId="0" quotePrefix="1" applyBorder="1" applyAlignment="1">
      <alignment vertical="center" wrapText="1"/>
    </xf>
    <xf numFmtId="164" fontId="0" fillId="0" borderId="0" xfId="0" applyNumberFormat="1" applyAlignment="1">
      <alignment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10" xfId="0" applyBorder="1" applyAlignment="1">
      <alignment horizontal="center" vertical="center" wrapText="1"/>
    </xf>
    <xf numFmtId="0" fontId="2" fillId="0" borderId="11" xfId="0" applyFont="1" applyBorder="1" applyAlignment="1">
      <alignment vertical="center" wrapText="1"/>
    </xf>
    <xf numFmtId="0" fontId="0" fillId="0" borderId="7" xfId="0" applyBorder="1" applyAlignment="1">
      <alignment horizontal="center" vertical="center" wrapText="1"/>
    </xf>
    <xf numFmtId="0" fontId="0" fillId="0" borderId="7" xfId="0" applyBorder="1" applyAlignment="1">
      <alignment vertical="center" wrapText="1"/>
    </xf>
    <xf numFmtId="0" fontId="2" fillId="0" borderId="13" xfId="0" applyFont="1" applyBorder="1" applyAlignment="1">
      <alignment horizontal="center" vertical="center" wrapText="1"/>
    </xf>
    <xf numFmtId="0" fontId="0" fillId="0" borderId="12" xfId="0" applyBorder="1" applyAlignment="1">
      <alignment vertical="center"/>
    </xf>
    <xf numFmtId="0" fontId="2" fillId="0" borderId="15" xfId="0" applyFont="1" applyBorder="1" applyAlignment="1">
      <alignment horizontal="center" vertical="center"/>
    </xf>
    <xf numFmtId="0" fontId="0" fillId="0" borderId="10" xfId="0" applyBorder="1" applyAlignment="1">
      <alignment horizontal="center" vertical="center"/>
    </xf>
    <xf numFmtId="0" fontId="0" fillId="0" borderId="0" xfId="0" applyAlignment="1">
      <alignment horizontal="left" vertical="center"/>
    </xf>
    <xf numFmtId="0" fontId="0" fillId="0" borderId="0" xfId="0" applyBorder="1" applyAlignment="1">
      <alignment horizontal="left" vertical="center" wrapText="1"/>
    </xf>
    <xf numFmtId="0" fontId="0" fillId="0" borderId="21" xfId="0" applyBorder="1" applyAlignment="1">
      <alignment vertical="center" wrapText="1"/>
    </xf>
    <xf numFmtId="0" fontId="0" fillId="0" borderId="22" xfId="0" applyBorder="1" applyAlignment="1">
      <alignment horizontal="center" vertical="center" wrapText="1"/>
    </xf>
    <xf numFmtId="0" fontId="0" fillId="0" borderId="22" xfId="0" applyBorder="1" applyAlignment="1">
      <alignment vertical="center" wrapText="1"/>
    </xf>
    <xf numFmtId="0" fontId="0" fillId="0" borderId="22" xfId="0" applyBorder="1" applyAlignment="1">
      <alignment vertical="center"/>
    </xf>
    <xf numFmtId="0" fontId="0" fillId="0" borderId="23" xfId="0" applyBorder="1" applyAlignment="1">
      <alignment vertical="center"/>
    </xf>
    <xf numFmtId="0" fontId="2" fillId="0" borderId="18" xfId="0" applyFont="1" applyBorder="1" applyAlignment="1">
      <alignment vertical="center" wrapText="1"/>
    </xf>
    <xf numFmtId="0" fontId="0" fillId="0" borderId="11" xfId="0" applyBorder="1" applyAlignment="1">
      <alignment vertical="center" wrapText="1"/>
    </xf>
    <xf numFmtId="0" fontId="2" fillId="0" borderId="7" xfId="0" applyFont="1" applyBorder="1" applyAlignment="1">
      <alignment horizontal="right" vertical="center"/>
    </xf>
    <xf numFmtId="0" fontId="0" fillId="0" borderId="1" xfId="0" applyBorder="1" applyAlignment="1">
      <alignment vertical="center" wrapText="1"/>
    </xf>
    <xf numFmtId="0" fontId="0" fillId="0" borderId="2" xfId="0" applyBorder="1" applyAlignment="1">
      <alignment horizontal="center" vertical="center" wrapText="1"/>
    </xf>
    <xf numFmtId="0" fontId="0" fillId="0" borderId="2" xfId="0" quotePrefix="1" applyBorder="1" applyAlignment="1">
      <alignment vertical="center" wrapText="1"/>
    </xf>
    <xf numFmtId="10" fontId="0" fillId="0" borderId="22" xfId="0" applyNumberFormat="1" applyBorder="1" applyAlignment="1">
      <alignment vertical="center"/>
    </xf>
    <xf numFmtId="0" fontId="2" fillId="0" borderId="1" xfId="0" applyFont="1" applyBorder="1" applyAlignment="1" applyProtection="1">
      <alignment vertical="center" wrapText="1"/>
    </xf>
    <xf numFmtId="0" fontId="2" fillId="0" borderId="2" xfId="0" applyFont="1" applyBorder="1" applyAlignment="1" applyProtection="1">
      <alignment horizontal="center" vertical="center" wrapText="1"/>
    </xf>
    <xf numFmtId="0" fontId="2" fillId="0" borderId="2" xfId="0" applyFont="1" applyBorder="1" applyAlignment="1" applyProtection="1">
      <alignment vertical="center" wrapText="1"/>
    </xf>
    <xf numFmtId="0" fontId="0" fillId="0" borderId="4" xfId="0" applyBorder="1" applyAlignment="1" applyProtection="1">
      <alignment vertical="center" wrapText="1"/>
    </xf>
    <xf numFmtId="0" fontId="0" fillId="0" borderId="5" xfId="0" applyBorder="1" applyAlignment="1" applyProtection="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2" fillId="0" borderId="5"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 fillId="0" borderId="0" xfId="0" applyFont="1" applyBorder="1" applyAlignment="1">
      <alignment horizontal="center" vertical="center" wrapText="1"/>
    </xf>
    <xf numFmtId="0" fontId="0" fillId="0" borderId="0" xfId="0" applyBorder="1" applyAlignment="1">
      <alignment horizontal="center" vertical="center" wrapText="1"/>
    </xf>
    <xf numFmtId="0" fontId="0" fillId="2" borderId="0" xfId="0" applyFill="1" applyAlignment="1">
      <alignment vertical="center" wrapText="1"/>
    </xf>
    <xf numFmtId="3" fontId="0" fillId="2" borderId="5" xfId="0" applyNumberFormat="1" applyFill="1" applyBorder="1" applyAlignment="1" applyProtection="1">
      <alignment vertical="center"/>
      <protection locked="0"/>
    </xf>
    <xf numFmtId="10" fontId="0" fillId="2" borderId="5" xfId="0" applyNumberFormat="1" applyFill="1" applyBorder="1" applyAlignment="1" applyProtection="1">
      <alignment vertical="center"/>
      <protection locked="0"/>
    </xf>
    <xf numFmtId="10" fontId="2" fillId="2" borderId="5" xfId="0" applyNumberFormat="1" applyFont="1" applyFill="1" applyBorder="1" applyAlignment="1">
      <alignment horizontal="left" vertical="center"/>
    </xf>
    <xf numFmtId="10" fontId="2" fillId="2" borderId="6" xfId="0" applyNumberFormat="1" applyFont="1" applyFill="1" applyBorder="1" applyAlignment="1">
      <alignment horizontal="left" vertical="center"/>
    </xf>
    <xf numFmtId="10" fontId="2" fillId="2" borderId="5" xfId="0" applyNumberFormat="1" applyFont="1" applyFill="1" applyBorder="1" applyAlignment="1" applyProtection="1">
      <alignment horizontal="center" vertical="center"/>
      <protection locked="0"/>
    </xf>
    <xf numFmtId="10" fontId="2" fillId="2" borderId="5" xfId="0" applyNumberFormat="1" applyFont="1" applyFill="1" applyBorder="1" applyAlignment="1">
      <alignment horizontal="center" vertical="center"/>
    </xf>
    <xf numFmtId="10" fontId="2" fillId="2" borderId="6" xfId="0" applyNumberFormat="1" applyFont="1" applyFill="1" applyBorder="1" applyAlignment="1" applyProtection="1">
      <alignment horizontal="center" vertical="center"/>
      <protection locked="0"/>
    </xf>
    <xf numFmtId="10" fontId="2" fillId="2" borderId="5" xfId="0" applyNumberFormat="1" applyFont="1" applyFill="1" applyBorder="1" applyAlignment="1" applyProtection="1">
      <alignment horizontal="left" vertical="center"/>
      <protection locked="0"/>
    </xf>
    <xf numFmtId="10" fontId="2" fillId="2" borderId="6" xfId="0" applyNumberFormat="1" applyFont="1" applyFill="1" applyBorder="1" applyAlignment="1" applyProtection="1">
      <alignment horizontal="left" vertical="center"/>
      <protection locked="0"/>
    </xf>
    <xf numFmtId="10" fontId="2" fillId="2" borderId="7" xfId="0" applyNumberFormat="1" applyFont="1" applyFill="1" applyBorder="1" applyAlignment="1" applyProtection="1">
      <alignment horizontal="left" vertical="center"/>
      <protection locked="0"/>
    </xf>
    <xf numFmtId="10" fontId="2" fillId="2" borderId="12" xfId="0" applyNumberFormat="1" applyFont="1" applyFill="1" applyBorder="1" applyAlignment="1" applyProtection="1">
      <alignment horizontal="left" vertical="center"/>
      <protection locked="0"/>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8"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10" fontId="0" fillId="0" borderId="5" xfId="2" applyNumberFormat="1" applyFont="1" applyBorder="1" applyAlignment="1">
      <alignment horizontal="right" vertical="center"/>
    </xf>
    <xf numFmtId="164" fontId="0" fillId="0" borderId="5" xfId="0" applyNumberFormat="1" applyBorder="1" applyAlignment="1">
      <alignment horizontal="right" vertical="center"/>
    </xf>
    <xf numFmtId="164" fontId="0" fillId="0" borderId="22" xfId="0" applyNumberFormat="1" applyBorder="1" applyAlignment="1">
      <alignment horizontal="right" vertical="center"/>
    </xf>
    <xf numFmtId="164" fontId="0" fillId="0" borderId="6" xfId="0" applyNumberFormat="1" applyBorder="1" applyAlignment="1">
      <alignment horizontal="right" vertical="center"/>
    </xf>
    <xf numFmtId="164" fontId="0" fillId="0" borderId="23" xfId="0" applyNumberFormat="1" applyBorder="1" applyAlignment="1">
      <alignment horizontal="right"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2" fillId="0" borderId="2" xfId="0" applyFont="1" applyBorder="1" applyAlignment="1">
      <alignment horizontal="center" vertical="center"/>
    </xf>
    <xf numFmtId="166" fontId="0" fillId="0" borderId="2" xfId="1" applyNumberFormat="1" applyFont="1" applyBorder="1" applyAlignment="1">
      <alignment horizontal="right" vertical="center"/>
    </xf>
    <xf numFmtId="166" fontId="0" fillId="0" borderId="5" xfId="1" applyNumberFormat="1" applyFont="1" applyBorder="1" applyAlignmen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xf>
    <xf numFmtId="166" fontId="0" fillId="0" borderId="3" xfId="1" applyNumberFormat="1" applyFont="1" applyBorder="1" applyAlignment="1">
      <alignment horizontal="right" vertical="center"/>
    </xf>
    <xf numFmtId="166" fontId="0" fillId="0" borderId="6" xfId="1" applyNumberFormat="1" applyFont="1" applyBorder="1" applyAlignment="1">
      <alignment horizontal="right" vertical="center"/>
    </xf>
    <xf numFmtId="10" fontId="0" fillId="0" borderId="6" xfId="2" applyNumberFormat="1" applyFont="1" applyBorder="1" applyAlignment="1">
      <alignment horizontal="right"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43" fontId="0" fillId="0" borderId="5" xfId="1" applyFont="1" applyBorder="1" applyAlignment="1">
      <alignment horizontal="right" vertical="center"/>
    </xf>
    <xf numFmtId="165" fontId="0" fillId="0" borderId="5" xfId="0" applyNumberFormat="1" applyBorder="1" applyAlignment="1">
      <alignment horizontal="right" vertical="center"/>
    </xf>
    <xf numFmtId="43" fontId="0" fillId="0" borderId="6" xfId="1" applyFont="1" applyBorder="1" applyAlignment="1">
      <alignment horizontal="right" vertical="center"/>
    </xf>
    <xf numFmtId="165" fontId="0" fillId="0" borderId="6" xfId="0" applyNumberFormat="1" applyBorder="1" applyAlignment="1">
      <alignment horizontal="right" vertical="center"/>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10" fontId="0" fillId="0" borderId="5" xfId="2" applyNumberFormat="1"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164" fontId="0" fillId="0" borderId="5" xfId="0" applyNumberFormat="1" applyBorder="1" applyAlignment="1">
      <alignment horizontal="center" vertical="center"/>
    </xf>
    <xf numFmtId="164" fontId="0" fillId="0" borderId="5" xfId="1" applyNumberFormat="1" applyFont="1" applyBorder="1" applyAlignment="1">
      <alignment horizontal="center" vertical="center"/>
    </xf>
    <xf numFmtId="164" fontId="0" fillId="0" borderId="6" xfId="0" applyNumberFormat="1" applyBorder="1" applyAlignment="1">
      <alignment horizontal="center" vertical="center"/>
    </xf>
    <xf numFmtId="164" fontId="0" fillId="0" borderId="6" xfId="1" applyNumberFormat="1" applyFont="1" applyBorder="1" applyAlignment="1">
      <alignment horizontal="center" vertical="center"/>
    </xf>
    <xf numFmtId="10" fontId="0" fillId="0" borderId="6" xfId="2" applyNumberFormat="1" applyFont="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BE483-438C-4F32-98A1-538F108404AA}">
  <dimension ref="B1:R46"/>
  <sheetViews>
    <sheetView zoomScale="90" zoomScaleNormal="90" workbookViewId="0">
      <selection activeCell="E3" sqref="E3:E7"/>
    </sheetView>
  </sheetViews>
  <sheetFormatPr defaultColWidth="8.81640625" defaultRowHeight="14.5" x14ac:dyDescent="0.35"/>
  <cols>
    <col min="1" max="1" width="8.81640625" style="4"/>
    <col min="2" max="2" width="5.453125" style="1" customWidth="1"/>
    <col min="3" max="3" width="56.1796875" style="2" customWidth="1"/>
    <col min="4" max="4" width="4.54296875" style="3" customWidth="1"/>
    <col min="5" max="5" width="17.81640625" style="2" customWidth="1"/>
    <col min="6" max="6" width="10.81640625" style="4" customWidth="1"/>
    <col min="7" max="7" width="9" style="4" customWidth="1"/>
    <col min="8" max="8" width="10.81640625" style="4" customWidth="1"/>
    <col min="9" max="9" width="7.81640625" style="4" customWidth="1"/>
    <col min="10" max="10" width="12" style="4" customWidth="1"/>
    <col min="11" max="11" width="8.36328125" style="4" customWidth="1"/>
    <col min="12" max="12" width="12" style="4" customWidth="1"/>
    <col min="13" max="13" width="7.1796875" style="4" customWidth="1"/>
    <col min="14" max="14" width="12" style="4" customWidth="1"/>
    <col min="15" max="15" width="10.54296875" style="4" customWidth="1"/>
    <col min="16" max="17" width="8.81640625" style="4"/>
    <col min="18" max="18" width="11.1796875" style="4" bestFit="1" customWidth="1"/>
    <col min="19" max="16384" width="8.81640625" style="4"/>
  </cols>
  <sheetData>
    <row r="1" spans="3:15" ht="15" thickBot="1" x14ac:dyDescent="0.4">
      <c r="C1" s="60" t="s">
        <v>95</v>
      </c>
    </row>
    <row r="2" spans="3:15" x14ac:dyDescent="0.35">
      <c r="C2" s="44" t="s">
        <v>0</v>
      </c>
      <c r="D2" s="45"/>
      <c r="E2" s="46"/>
      <c r="F2" s="8"/>
      <c r="G2" s="8"/>
      <c r="H2" s="8"/>
      <c r="I2" s="8"/>
      <c r="J2" s="8"/>
      <c r="K2" s="8"/>
      <c r="L2" s="8"/>
      <c r="M2" s="8"/>
      <c r="N2" s="8"/>
      <c r="O2" s="9"/>
    </row>
    <row r="3" spans="3:15" x14ac:dyDescent="0.35">
      <c r="C3" s="47" t="s">
        <v>1</v>
      </c>
      <c r="D3" s="48" t="s">
        <v>2</v>
      </c>
      <c r="E3" s="61">
        <v>10000000</v>
      </c>
      <c r="F3" s="12"/>
      <c r="G3" s="12"/>
      <c r="H3" s="12"/>
      <c r="I3" s="12"/>
      <c r="J3" s="12"/>
      <c r="K3" s="12"/>
      <c r="L3" s="12"/>
      <c r="M3" s="12"/>
      <c r="N3" s="12"/>
      <c r="O3" s="13"/>
    </row>
    <row r="4" spans="3:15" x14ac:dyDescent="0.35">
      <c r="C4" s="47" t="s">
        <v>3</v>
      </c>
      <c r="D4" s="48" t="s">
        <v>4</v>
      </c>
      <c r="E4" s="62">
        <v>0.02</v>
      </c>
      <c r="F4" s="12"/>
      <c r="G4" s="12"/>
      <c r="H4" s="12"/>
      <c r="I4" s="12"/>
      <c r="J4" s="12"/>
      <c r="K4" s="12"/>
      <c r="L4" s="12"/>
      <c r="M4" s="12"/>
      <c r="N4" s="12"/>
      <c r="O4" s="13"/>
    </row>
    <row r="5" spans="3:15" x14ac:dyDescent="0.35">
      <c r="C5" s="47" t="s">
        <v>5</v>
      </c>
      <c r="D5" s="48" t="s">
        <v>6</v>
      </c>
      <c r="E5" s="62">
        <v>0</v>
      </c>
      <c r="F5" s="12"/>
      <c r="G5" s="12"/>
      <c r="H5" s="12"/>
      <c r="I5" s="12"/>
      <c r="J5" s="12"/>
      <c r="K5" s="12"/>
      <c r="L5" s="12"/>
      <c r="M5" s="12"/>
      <c r="N5" s="12"/>
      <c r="O5" s="13"/>
    </row>
    <row r="6" spans="3:15" x14ac:dyDescent="0.35">
      <c r="C6" s="47" t="s">
        <v>7</v>
      </c>
      <c r="D6" s="48" t="s">
        <v>8</v>
      </c>
      <c r="E6" s="62">
        <v>0.2</v>
      </c>
      <c r="F6" s="12"/>
      <c r="G6" s="12"/>
      <c r="H6" s="12"/>
      <c r="I6" s="12"/>
      <c r="J6" s="12"/>
      <c r="K6" s="12"/>
      <c r="L6" s="12"/>
      <c r="M6" s="12"/>
      <c r="N6" s="12"/>
      <c r="O6" s="13"/>
    </row>
    <row r="7" spans="3:15" x14ac:dyDescent="0.35">
      <c r="C7" s="47" t="s">
        <v>9</v>
      </c>
      <c r="D7" s="48" t="s">
        <v>10</v>
      </c>
      <c r="E7" s="62">
        <v>0.18</v>
      </c>
      <c r="F7" s="12"/>
      <c r="G7" s="12"/>
      <c r="H7" s="12"/>
      <c r="I7" s="12"/>
      <c r="J7" s="12"/>
      <c r="K7" s="12"/>
      <c r="L7" s="12"/>
      <c r="M7" s="12"/>
      <c r="N7" s="12"/>
      <c r="O7" s="13"/>
    </row>
    <row r="8" spans="3:15" x14ac:dyDescent="0.35">
      <c r="C8" s="47" t="s">
        <v>11</v>
      </c>
      <c r="D8" s="48" t="s">
        <v>12</v>
      </c>
      <c r="E8" s="62">
        <v>6.1000000000000004E-3</v>
      </c>
      <c r="F8" s="12"/>
      <c r="G8" s="12"/>
      <c r="H8" s="12"/>
      <c r="I8" s="12"/>
      <c r="J8" s="12"/>
      <c r="K8" s="12"/>
      <c r="L8" s="12"/>
      <c r="M8" s="12"/>
      <c r="N8" s="12"/>
      <c r="O8" s="13"/>
    </row>
    <row r="9" spans="3:15" ht="15" thickBot="1" x14ac:dyDescent="0.4">
      <c r="C9" s="32"/>
      <c r="D9" s="33"/>
      <c r="E9" s="34"/>
      <c r="F9" s="43"/>
      <c r="G9" s="35"/>
      <c r="H9" s="35"/>
      <c r="I9" s="35"/>
      <c r="J9" s="35"/>
      <c r="K9" s="35"/>
      <c r="L9" s="35"/>
      <c r="M9" s="35"/>
      <c r="N9" s="35"/>
      <c r="O9" s="36"/>
    </row>
    <row r="10" spans="3:15" x14ac:dyDescent="0.35">
      <c r="C10" s="92" t="s">
        <v>13</v>
      </c>
      <c r="D10" s="93"/>
      <c r="E10" s="93"/>
      <c r="F10" s="89" t="s">
        <v>90</v>
      </c>
      <c r="G10" s="89"/>
      <c r="H10" s="89" t="s">
        <v>91</v>
      </c>
      <c r="I10" s="89"/>
      <c r="J10" s="89" t="s">
        <v>92</v>
      </c>
      <c r="K10" s="89"/>
      <c r="L10" s="89" t="s">
        <v>93</v>
      </c>
      <c r="M10" s="89"/>
      <c r="N10" s="89" t="s">
        <v>94</v>
      </c>
      <c r="O10" s="96"/>
    </row>
    <row r="11" spans="3:15" ht="15" thickBot="1" x14ac:dyDescent="0.4">
      <c r="C11" s="94"/>
      <c r="D11" s="95"/>
      <c r="E11" s="95"/>
      <c r="F11" s="39" t="str">
        <f>IF(G11&gt;=0,"Gain of","Loss of")</f>
        <v>Gain of</v>
      </c>
      <c r="G11" s="70">
        <v>0.25</v>
      </c>
      <c r="H11" s="39" t="str">
        <f>IF(I11&gt;=0,"Gain of","Loss of")</f>
        <v>Loss of</v>
      </c>
      <c r="I11" s="70">
        <v>-0.1</v>
      </c>
      <c r="J11" s="39" t="str">
        <f>IF(K11&gt;=0,"Gain of","Loss of")</f>
        <v>Gain of</v>
      </c>
      <c r="K11" s="70">
        <v>0.21</v>
      </c>
      <c r="L11" s="39" t="str">
        <f>IF(M11&gt;=0,"Gain of","Loss of")</f>
        <v>Gain of</v>
      </c>
      <c r="M11" s="70">
        <v>0.2</v>
      </c>
      <c r="N11" s="39" t="str">
        <f>IF(O11&gt;=0,"Gain of","Loss of")</f>
        <v>Loss of</v>
      </c>
      <c r="O11" s="71">
        <v>-0.1</v>
      </c>
    </row>
    <row r="12" spans="3:15" x14ac:dyDescent="0.35">
      <c r="C12" s="40" t="s">
        <v>14</v>
      </c>
      <c r="D12" s="41" t="s">
        <v>15</v>
      </c>
      <c r="E12" s="42" t="s">
        <v>16</v>
      </c>
      <c r="F12" s="90">
        <f>+$E$3</f>
        <v>10000000</v>
      </c>
      <c r="G12" s="90"/>
      <c r="H12" s="90">
        <f>F31</f>
        <v>12126198</v>
      </c>
      <c r="I12" s="90"/>
      <c r="J12" s="90">
        <f>H31</f>
        <v>10614314.5469382</v>
      </c>
      <c r="K12" s="90"/>
      <c r="L12" s="90">
        <f>J31</f>
        <v>12538629.378848322</v>
      </c>
      <c r="M12" s="90"/>
      <c r="N12" s="90">
        <f>L31</f>
        <v>14688053.889213892</v>
      </c>
      <c r="O12" s="97"/>
    </row>
    <row r="13" spans="3:15" x14ac:dyDescent="0.35">
      <c r="C13" s="10" t="s">
        <v>17</v>
      </c>
      <c r="D13" s="11" t="s">
        <v>18</v>
      </c>
      <c r="E13" s="18" t="s">
        <v>19</v>
      </c>
      <c r="F13" s="91">
        <f>F12*G11</f>
        <v>2500000</v>
      </c>
      <c r="G13" s="91"/>
      <c r="H13" s="91">
        <f>H12*I11</f>
        <v>-1212619.8</v>
      </c>
      <c r="I13" s="91"/>
      <c r="J13" s="91">
        <f>J12*K11</f>
        <v>2229006.0548570217</v>
      </c>
      <c r="K13" s="91"/>
      <c r="L13" s="91">
        <f>L12*M11</f>
        <v>2507725.8757696645</v>
      </c>
      <c r="M13" s="91"/>
      <c r="N13" s="91">
        <f>N12*O11</f>
        <v>-1468805.3889213894</v>
      </c>
      <c r="O13" s="98"/>
    </row>
    <row r="14" spans="3:15" x14ac:dyDescent="0.35">
      <c r="C14" s="10" t="s">
        <v>20</v>
      </c>
      <c r="D14" s="11" t="s">
        <v>21</v>
      </c>
      <c r="E14" s="18" t="s">
        <v>22</v>
      </c>
      <c r="F14" s="91">
        <f>F12+F13</f>
        <v>12500000</v>
      </c>
      <c r="G14" s="91"/>
      <c r="H14" s="91">
        <f>H12+H13</f>
        <v>10913578.199999999</v>
      </c>
      <c r="I14" s="91"/>
      <c r="J14" s="91">
        <f>J12+J13</f>
        <v>12843320.601795221</v>
      </c>
      <c r="K14" s="91"/>
      <c r="L14" s="91">
        <f>L12+L13</f>
        <v>15046355.254617985</v>
      </c>
      <c r="M14" s="91"/>
      <c r="N14" s="91">
        <f>N12+N13</f>
        <v>13219248.500292502</v>
      </c>
      <c r="O14" s="98"/>
    </row>
    <row r="15" spans="3:15" x14ac:dyDescent="0.35">
      <c r="C15" s="83"/>
      <c r="D15" s="84"/>
      <c r="E15" s="84"/>
      <c r="F15" s="84"/>
      <c r="G15" s="84"/>
      <c r="H15" s="84"/>
      <c r="I15" s="84"/>
      <c r="J15" s="84"/>
      <c r="K15" s="84"/>
      <c r="L15" s="84"/>
      <c r="M15" s="84"/>
      <c r="N15" s="84"/>
      <c r="O15" s="85"/>
    </row>
    <row r="16" spans="3:15" x14ac:dyDescent="0.35">
      <c r="C16" s="10" t="s">
        <v>23</v>
      </c>
      <c r="D16" s="11" t="s">
        <v>24</v>
      </c>
      <c r="E16" s="18" t="s">
        <v>25</v>
      </c>
      <c r="F16" s="79">
        <f>(F12+F14)/2</f>
        <v>11250000</v>
      </c>
      <c r="G16" s="79"/>
      <c r="H16" s="79">
        <f>(H12+H14)/2</f>
        <v>11519888.1</v>
      </c>
      <c r="I16" s="79"/>
      <c r="J16" s="79">
        <f>(J12+J14)/2</f>
        <v>11728817.574366711</v>
      </c>
      <c r="K16" s="79"/>
      <c r="L16" s="79">
        <f>(L12+L14)/2</f>
        <v>13792492.316733154</v>
      </c>
      <c r="M16" s="79"/>
      <c r="N16" s="79">
        <f>(N12+N14)/2</f>
        <v>13953651.194753196</v>
      </c>
      <c r="O16" s="81"/>
    </row>
    <row r="17" spans="3:18" x14ac:dyDescent="0.35">
      <c r="C17" s="83"/>
      <c r="D17" s="84"/>
      <c r="E17" s="84"/>
      <c r="F17" s="84"/>
      <c r="G17" s="84"/>
      <c r="H17" s="84"/>
      <c r="I17" s="84"/>
      <c r="J17" s="84"/>
      <c r="K17" s="84"/>
      <c r="L17" s="84"/>
      <c r="M17" s="84"/>
      <c r="N17" s="84"/>
      <c r="O17" s="85"/>
      <c r="R17" s="19"/>
    </row>
    <row r="18" spans="3:18" x14ac:dyDescent="0.35">
      <c r="C18" s="10" t="s">
        <v>26</v>
      </c>
      <c r="D18" s="11" t="s">
        <v>27</v>
      </c>
      <c r="E18" s="18" t="s">
        <v>28</v>
      </c>
      <c r="F18" s="79">
        <f>+F16*-$E$5</f>
        <v>0</v>
      </c>
      <c r="G18" s="79"/>
      <c r="H18" s="79">
        <f>+H16*-$E$5</f>
        <v>0</v>
      </c>
      <c r="I18" s="79"/>
      <c r="J18" s="79">
        <f>+J16*-$E$5</f>
        <v>0</v>
      </c>
      <c r="K18" s="79"/>
      <c r="L18" s="79">
        <f>+L16*-$E$5</f>
        <v>0</v>
      </c>
      <c r="M18" s="79"/>
      <c r="N18" s="79">
        <f>+N16*-$E$5</f>
        <v>0</v>
      </c>
      <c r="O18" s="81"/>
    </row>
    <row r="19" spans="3:18" x14ac:dyDescent="0.35">
      <c r="C19" s="10" t="s">
        <v>11</v>
      </c>
      <c r="D19" s="11" t="s">
        <v>29</v>
      </c>
      <c r="E19" s="18" t="s">
        <v>30</v>
      </c>
      <c r="F19" s="79">
        <f>+F16*-$E$8</f>
        <v>-68625</v>
      </c>
      <c r="G19" s="79"/>
      <c r="H19" s="79">
        <f>+H16*-$E$8</f>
        <v>-70271.317410000003</v>
      </c>
      <c r="I19" s="79"/>
      <c r="J19" s="79">
        <f>+J16*-$E$8</f>
        <v>-71545.787203636937</v>
      </c>
      <c r="K19" s="79"/>
      <c r="L19" s="79">
        <f>+L16*-$E$8</f>
        <v>-84134.203132072245</v>
      </c>
      <c r="M19" s="79"/>
      <c r="N19" s="79">
        <f>+N16*-$E$8</f>
        <v>-85117.272287994507</v>
      </c>
      <c r="O19" s="81"/>
    </row>
    <row r="20" spans="3:18" x14ac:dyDescent="0.35">
      <c r="C20" s="10" t="s">
        <v>31</v>
      </c>
      <c r="D20" s="11" t="s">
        <v>32</v>
      </c>
      <c r="E20" s="14" t="s">
        <v>33</v>
      </c>
      <c r="F20" s="79">
        <f>+(F16+F18+F19)*-$E$4</f>
        <v>-223627.5</v>
      </c>
      <c r="G20" s="79"/>
      <c r="H20" s="79">
        <f>+(H16+H18+H19)*-$E$4</f>
        <v>-228992.33565180001</v>
      </c>
      <c r="I20" s="79"/>
      <c r="J20" s="79">
        <f>+(J16+J18+J19)*-$E$4</f>
        <v>-233145.43574326151</v>
      </c>
      <c r="K20" s="79"/>
      <c r="L20" s="79">
        <f>+(L16+L18+L19)*-$E$4</f>
        <v>-274167.16227202164</v>
      </c>
      <c r="M20" s="79"/>
      <c r="N20" s="79">
        <f>+(N16+N18+N19)*-$E$4</f>
        <v>-277370.67844930402</v>
      </c>
      <c r="O20" s="81"/>
    </row>
    <row r="21" spans="3:18" x14ac:dyDescent="0.35">
      <c r="C21" s="10" t="s">
        <v>34</v>
      </c>
      <c r="D21" s="11" t="s">
        <v>35</v>
      </c>
      <c r="E21" s="14" t="s">
        <v>36</v>
      </c>
      <c r="F21" s="79">
        <f>+F18+F20+F19</f>
        <v>-292252.5</v>
      </c>
      <c r="G21" s="79"/>
      <c r="H21" s="79">
        <f>+H18+H20+H19</f>
        <v>-299263.6530618</v>
      </c>
      <c r="I21" s="79"/>
      <c r="J21" s="79">
        <f>+J18+J20+J19</f>
        <v>-304691.22294689843</v>
      </c>
      <c r="K21" s="79"/>
      <c r="L21" s="79">
        <f>+L18+L20+L19</f>
        <v>-358301.36540409387</v>
      </c>
      <c r="M21" s="79"/>
      <c r="N21" s="79">
        <f>+N18+N20+N19</f>
        <v>-362487.95073729852</v>
      </c>
      <c r="O21" s="81"/>
    </row>
    <row r="22" spans="3:18" x14ac:dyDescent="0.35">
      <c r="C22" s="83"/>
      <c r="D22" s="84"/>
      <c r="E22" s="84"/>
      <c r="F22" s="84"/>
      <c r="G22" s="84"/>
      <c r="H22" s="84"/>
      <c r="I22" s="84"/>
      <c r="J22" s="84"/>
      <c r="K22" s="84"/>
      <c r="L22" s="84"/>
      <c r="M22" s="84"/>
      <c r="N22" s="84"/>
      <c r="O22" s="85"/>
    </row>
    <row r="23" spans="3:18" x14ac:dyDescent="0.35">
      <c r="C23" s="10" t="s">
        <v>37</v>
      </c>
      <c r="D23" s="11" t="s">
        <v>38</v>
      </c>
      <c r="E23" s="14" t="s">
        <v>39</v>
      </c>
      <c r="F23" s="79">
        <f>F14+F21</f>
        <v>12207747.5</v>
      </c>
      <c r="G23" s="79"/>
      <c r="H23" s="79">
        <f>H14+H21</f>
        <v>10614314.5469382</v>
      </c>
      <c r="I23" s="79"/>
      <c r="J23" s="79">
        <f>J14+J21</f>
        <v>12538629.378848322</v>
      </c>
      <c r="K23" s="79"/>
      <c r="L23" s="79">
        <f>L14+L21</f>
        <v>14688053.889213892</v>
      </c>
      <c r="M23" s="79"/>
      <c r="N23" s="79">
        <f>N14+N21</f>
        <v>12856760.549555203</v>
      </c>
      <c r="O23" s="81"/>
    </row>
    <row r="24" spans="3:18" ht="29" x14ac:dyDescent="0.35">
      <c r="C24" s="10" t="s">
        <v>40</v>
      </c>
      <c r="D24" s="11" t="s">
        <v>41</v>
      </c>
      <c r="E24" s="14"/>
      <c r="F24" s="79">
        <f>F12</f>
        <v>10000000</v>
      </c>
      <c r="G24" s="79"/>
      <c r="H24" s="79">
        <f>MAX(F14,F12)</f>
        <v>12500000</v>
      </c>
      <c r="I24" s="79"/>
      <c r="J24" s="79">
        <f>MAX(H14,H12,F14)</f>
        <v>12500000</v>
      </c>
      <c r="K24" s="79"/>
      <c r="L24" s="79">
        <f>MAX(J14,J12,H14,H12,F14)</f>
        <v>12843320.601795221</v>
      </c>
      <c r="M24" s="79"/>
      <c r="N24" s="79">
        <f>MAX(L14,L12,J14,J12,H14,H12,F14)</f>
        <v>15046355.254617985</v>
      </c>
      <c r="O24" s="81"/>
    </row>
    <row r="25" spans="3:18" x14ac:dyDescent="0.35">
      <c r="C25" s="20" t="s">
        <v>42</v>
      </c>
      <c r="D25" s="11" t="s">
        <v>43</v>
      </c>
      <c r="E25" s="21" t="s">
        <v>44</v>
      </c>
      <c r="F25" s="79">
        <f>(F24*$E$7)</f>
        <v>1800000</v>
      </c>
      <c r="G25" s="79"/>
      <c r="H25" s="79">
        <f>(H24*$E$7)</f>
        <v>2250000</v>
      </c>
      <c r="I25" s="79"/>
      <c r="J25" s="79">
        <f>(J24*$E$7)</f>
        <v>2250000</v>
      </c>
      <c r="K25" s="79"/>
      <c r="L25" s="79">
        <f>(L24*$E$7)</f>
        <v>2311797.7083231397</v>
      </c>
      <c r="M25" s="79"/>
      <c r="N25" s="79">
        <f>(N24*$E$7)</f>
        <v>2708343.9458312374</v>
      </c>
      <c r="O25" s="81"/>
    </row>
    <row r="26" spans="3:18" ht="29" x14ac:dyDescent="0.35">
      <c r="C26" s="10" t="s">
        <v>45</v>
      </c>
      <c r="D26" s="11" t="s">
        <v>46</v>
      </c>
      <c r="E26" s="14" t="s">
        <v>47</v>
      </c>
      <c r="F26" s="79" t="str">
        <f>IF(F23&gt;(F24+F25),("Yes"),("No Pfee"))</f>
        <v>Yes</v>
      </c>
      <c r="G26" s="79"/>
      <c r="H26" s="79" t="str">
        <f>IF(H23&gt;(H24+H25),("Yes"),("No Pfee"))</f>
        <v>No Pfee</v>
      </c>
      <c r="I26" s="79"/>
      <c r="J26" s="79" t="str">
        <f>IF(J23&gt;(J24+J25),("Yes"),("No Pfee"))</f>
        <v>No Pfee</v>
      </c>
      <c r="K26" s="79"/>
      <c r="L26" s="79" t="str">
        <f>IF(L23&gt;(L24+L25),("Yes"),("No Pfee"))</f>
        <v>No Pfee</v>
      </c>
      <c r="M26" s="79"/>
      <c r="N26" s="79" t="str">
        <f>IF(N23&gt;(N24+N25),("Yes"),("No Pfee"))</f>
        <v>No Pfee</v>
      </c>
      <c r="O26" s="81"/>
    </row>
    <row r="27" spans="3:18" x14ac:dyDescent="0.35">
      <c r="C27" s="100" t="s">
        <v>48</v>
      </c>
      <c r="D27" s="101"/>
      <c r="E27" s="101"/>
      <c r="F27" s="101"/>
      <c r="G27" s="101"/>
      <c r="H27" s="101"/>
      <c r="I27" s="101"/>
      <c r="J27" s="101"/>
      <c r="K27" s="101"/>
      <c r="L27" s="101"/>
      <c r="M27" s="101"/>
      <c r="N27" s="101"/>
      <c r="O27" s="102"/>
    </row>
    <row r="28" spans="3:18" x14ac:dyDescent="0.35">
      <c r="C28" s="10" t="s">
        <v>49</v>
      </c>
      <c r="D28" s="11" t="s">
        <v>50</v>
      </c>
      <c r="E28" s="14" t="s">
        <v>51</v>
      </c>
      <c r="F28" s="79">
        <f>+IF(F26="Yes",(F23-F24-F25),(0))</f>
        <v>407747.5</v>
      </c>
      <c r="G28" s="79"/>
      <c r="H28" s="79">
        <f>+IF(H26="Yes",(H23-H24-H25),(0))</f>
        <v>0</v>
      </c>
      <c r="I28" s="79"/>
      <c r="J28" s="79">
        <f>+IF(J26="Yes",(J23-J24-J25),(0))</f>
        <v>0</v>
      </c>
      <c r="K28" s="79"/>
      <c r="L28" s="79">
        <f>+IF(L26="Yes",(L23-L24-L25),(0))</f>
        <v>0</v>
      </c>
      <c r="M28" s="79"/>
      <c r="N28" s="79">
        <f>+IF(N26="Yes",(N23-N24-N25),(0))</f>
        <v>0</v>
      </c>
      <c r="O28" s="81"/>
    </row>
    <row r="29" spans="3:18" x14ac:dyDescent="0.35">
      <c r="C29" s="20" t="s">
        <v>52</v>
      </c>
      <c r="D29" s="11" t="s">
        <v>53</v>
      </c>
      <c r="E29" s="21" t="s">
        <v>54</v>
      </c>
      <c r="F29" s="79">
        <f>+F28*-$E$6</f>
        <v>-81549.5</v>
      </c>
      <c r="G29" s="79"/>
      <c r="H29" s="79">
        <f>+H28*-$E$6</f>
        <v>0</v>
      </c>
      <c r="I29" s="79"/>
      <c r="J29" s="79">
        <f>+J28*-$E$6</f>
        <v>0</v>
      </c>
      <c r="K29" s="79"/>
      <c r="L29" s="79">
        <f>+L28*-$E$6</f>
        <v>0</v>
      </c>
      <c r="M29" s="79"/>
      <c r="N29" s="79">
        <f>+N28*-$E$6</f>
        <v>0</v>
      </c>
      <c r="O29" s="81"/>
    </row>
    <row r="30" spans="3:18" x14ac:dyDescent="0.35">
      <c r="C30" s="83"/>
      <c r="D30" s="84"/>
      <c r="E30" s="84"/>
      <c r="F30" s="84"/>
      <c r="G30" s="84"/>
      <c r="H30" s="84"/>
      <c r="I30" s="84"/>
      <c r="J30" s="84"/>
      <c r="K30" s="84"/>
      <c r="L30" s="84"/>
      <c r="M30" s="84"/>
      <c r="N30" s="84"/>
      <c r="O30" s="85"/>
    </row>
    <row r="31" spans="3:18" ht="29" x14ac:dyDescent="0.35">
      <c r="C31" s="10" t="s">
        <v>55</v>
      </c>
      <c r="D31" s="11" t="s">
        <v>56</v>
      </c>
      <c r="E31" s="14" t="s">
        <v>57</v>
      </c>
      <c r="F31" s="79">
        <f>+F23+F29</f>
        <v>12126198</v>
      </c>
      <c r="G31" s="79"/>
      <c r="H31" s="79">
        <f>+H23+H29</f>
        <v>10614314.5469382</v>
      </c>
      <c r="I31" s="79"/>
      <c r="J31" s="79">
        <f>+J23+J29</f>
        <v>12538629.378848322</v>
      </c>
      <c r="K31" s="79"/>
      <c r="L31" s="79">
        <f>+L23+L29</f>
        <v>14688053.889213892</v>
      </c>
      <c r="M31" s="79"/>
      <c r="N31" s="79">
        <f>+N23+N29</f>
        <v>12856760.549555203</v>
      </c>
      <c r="O31" s="81"/>
    </row>
    <row r="32" spans="3:18" x14ac:dyDescent="0.35">
      <c r="C32" s="10" t="s">
        <v>58</v>
      </c>
      <c r="D32" s="11" t="s">
        <v>59</v>
      </c>
      <c r="E32" s="14" t="s">
        <v>60</v>
      </c>
      <c r="F32" s="78">
        <f>+F31/F12-1</f>
        <v>0.21261979999999991</v>
      </c>
      <c r="G32" s="78"/>
      <c r="H32" s="78">
        <f>+H31/H12-1</f>
        <v>-0.12467910000000004</v>
      </c>
      <c r="I32" s="78"/>
      <c r="J32" s="78">
        <f>+J31/J12-1</f>
        <v>0.18129430999999996</v>
      </c>
      <c r="K32" s="78"/>
      <c r="L32" s="78">
        <f>+L31/L12-1</f>
        <v>0.17142419999999992</v>
      </c>
      <c r="M32" s="78"/>
      <c r="N32" s="78">
        <f>+N31/N12-1</f>
        <v>-0.12467910000000004</v>
      </c>
      <c r="O32" s="99"/>
    </row>
    <row r="33" spans="2:15" x14ac:dyDescent="0.35">
      <c r="C33" s="83"/>
      <c r="D33" s="84"/>
      <c r="E33" s="84"/>
      <c r="F33" s="84"/>
      <c r="G33" s="84"/>
      <c r="H33" s="84"/>
      <c r="I33" s="84"/>
      <c r="J33" s="84"/>
      <c r="K33" s="84"/>
      <c r="L33" s="84"/>
      <c r="M33" s="84"/>
      <c r="N33" s="84"/>
      <c r="O33" s="85"/>
    </row>
    <row r="34" spans="2:15" ht="29" x14ac:dyDescent="0.35">
      <c r="C34" s="10" t="s">
        <v>61</v>
      </c>
      <c r="D34" s="11" t="s">
        <v>62</v>
      </c>
      <c r="E34" s="14" t="s">
        <v>63</v>
      </c>
      <c r="F34" s="79">
        <f>+MAX(F24,F31)</f>
        <v>12126198</v>
      </c>
      <c r="G34" s="79"/>
      <c r="H34" s="79">
        <f>+MAX(H24,H31)</f>
        <v>12500000</v>
      </c>
      <c r="I34" s="79"/>
      <c r="J34" s="79">
        <f>+MAX(J24,J31)</f>
        <v>12538629.378848322</v>
      </c>
      <c r="K34" s="79"/>
      <c r="L34" s="79">
        <f>+MAX(L24,L31)</f>
        <v>14688053.889213892</v>
      </c>
      <c r="M34" s="79"/>
      <c r="N34" s="79">
        <f>+MAX(N24,N31)</f>
        <v>15046355.254617985</v>
      </c>
      <c r="O34" s="81"/>
    </row>
    <row r="35" spans="2:15" ht="29.5" thickBot="1" x14ac:dyDescent="0.4">
      <c r="C35" s="32" t="s">
        <v>64</v>
      </c>
      <c r="D35" s="33" t="s">
        <v>62</v>
      </c>
      <c r="E35" s="34" t="s">
        <v>65</v>
      </c>
      <c r="F35" s="80">
        <f>+MAX(F23,F24)</f>
        <v>12207747.5</v>
      </c>
      <c r="G35" s="80"/>
      <c r="H35" s="80">
        <f>+MAX(H23,H24)</f>
        <v>12500000</v>
      </c>
      <c r="I35" s="80"/>
      <c r="J35" s="80">
        <f>+MAX(J23,J24)</f>
        <v>12538629.378848322</v>
      </c>
      <c r="K35" s="80"/>
      <c r="L35" s="80">
        <f>+MAX(L23,L24)</f>
        <v>14688053.889213892</v>
      </c>
      <c r="M35" s="80"/>
      <c r="N35" s="80">
        <f>+MAX(N23,N24)</f>
        <v>15046355.254617985</v>
      </c>
      <c r="O35" s="82"/>
    </row>
    <row r="36" spans="2:15" x14ac:dyDescent="0.35">
      <c r="C36" s="86"/>
      <c r="D36" s="87"/>
      <c r="E36" s="87"/>
      <c r="F36" s="87"/>
      <c r="G36" s="87"/>
      <c r="H36" s="87"/>
      <c r="I36" s="87"/>
      <c r="J36" s="87"/>
      <c r="K36" s="87"/>
      <c r="L36" s="87"/>
      <c r="M36" s="87"/>
      <c r="N36" s="87"/>
      <c r="O36" s="88"/>
    </row>
    <row r="37" spans="2:15" ht="15" thickBot="1" x14ac:dyDescent="0.4">
      <c r="B37" s="22"/>
      <c r="C37" s="23" t="s">
        <v>66</v>
      </c>
      <c r="D37"/>
      <c r="E37"/>
      <c r="F37"/>
      <c r="G37"/>
      <c r="H37"/>
      <c r="I37"/>
      <c r="J37"/>
      <c r="K37"/>
      <c r="L37"/>
      <c r="M37"/>
      <c r="N37"/>
      <c r="O37"/>
    </row>
    <row r="38" spans="2:15" ht="15" thickBot="1" x14ac:dyDescent="0.4">
      <c r="B38" s="26">
        <v>1</v>
      </c>
      <c r="C38" s="75" t="s">
        <v>86</v>
      </c>
      <c r="D38" s="76"/>
      <c r="E38" s="76"/>
      <c r="F38" s="76"/>
      <c r="G38" s="76"/>
      <c r="H38" s="76"/>
      <c r="I38" s="76"/>
      <c r="J38" s="76"/>
      <c r="K38" s="76"/>
      <c r="L38" s="76"/>
      <c r="M38" s="76"/>
      <c r="N38" s="76"/>
      <c r="O38" s="77"/>
    </row>
    <row r="39" spans="2:15" ht="15" thickBot="1" x14ac:dyDescent="0.4">
      <c r="B39" s="26">
        <f t="shared" ref="B39:B46" si="0">+B38+1</f>
        <v>2</v>
      </c>
      <c r="C39" s="75" t="s">
        <v>87</v>
      </c>
      <c r="D39" s="76"/>
      <c r="E39" s="76"/>
      <c r="F39" s="76"/>
      <c r="G39" s="76"/>
      <c r="H39" s="76"/>
      <c r="I39" s="76"/>
      <c r="J39" s="76"/>
      <c r="K39" s="76"/>
      <c r="L39" s="76"/>
      <c r="M39" s="76"/>
      <c r="N39" s="76"/>
      <c r="O39" s="77"/>
    </row>
    <row r="40" spans="2:15" ht="15" thickBot="1" x14ac:dyDescent="0.4">
      <c r="B40" s="26">
        <f t="shared" si="0"/>
        <v>3</v>
      </c>
      <c r="C40" s="75" t="s">
        <v>69</v>
      </c>
      <c r="D40" s="76"/>
      <c r="E40" s="76"/>
      <c r="F40" s="76"/>
      <c r="G40" s="76"/>
      <c r="H40" s="76"/>
      <c r="I40" s="76"/>
      <c r="J40" s="76"/>
      <c r="K40" s="76"/>
      <c r="L40" s="76"/>
      <c r="M40" s="76"/>
      <c r="N40" s="76"/>
      <c r="O40" s="77"/>
    </row>
    <row r="41" spans="2:15" ht="15" thickBot="1" x14ac:dyDescent="0.4">
      <c r="B41" s="26">
        <f t="shared" si="0"/>
        <v>4</v>
      </c>
      <c r="C41" s="75" t="s">
        <v>70</v>
      </c>
      <c r="D41" s="76"/>
      <c r="E41" s="76"/>
      <c r="F41" s="76"/>
      <c r="G41" s="76"/>
      <c r="H41" s="76"/>
      <c r="I41" s="76"/>
      <c r="J41" s="76"/>
      <c r="K41" s="76"/>
      <c r="L41" s="76"/>
      <c r="M41" s="76"/>
      <c r="N41" s="76"/>
      <c r="O41" s="77"/>
    </row>
    <row r="42" spans="2:15" ht="15" thickBot="1" x14ac:dyDescent="0.4">
      <c r="B42" s="26">
        <f t="shared" si="0"/>
        <v>5</v>
      </c>
      <c r="C42" s="75" t="s">
        <v>71</v>
      </c>
      <c r="D42" s="76"/>
      <c r="E42" s="76"/>
      <c r="F42" s="76"/>
      <c r="G42" s="76"/>
      <c r="H42" s="76"/>
      <c r="I42" s="76"/>
      <c r="J42" s="76"/>
      <c r="K42" s="76"/>
      <c r="L42" s="76"/>
      <c r="M42" s="76"/>
      <c r="N42" s="76"/>
      <c r="O42" s="77"/>
    </row>
    <row r="43" spans="2:15" ht="15" thickBot="1" x14ac:dyDescent="0.4">
      <c r="B43" s="26">
        <f t="shared" si="0"/>
        <v>6</v>
      </c>
      <c r="C43" s="75" t="s">
        <v>72</v>
      </c>
      <c r="D43" s="76"/>
      <c r="E43" s="76"/>
      <c r="F43" s="76"/>
      <c r="G43" s="76"/>
      <c r="H43" s="76"/>
      <c r="I43" s="76"/>
      <c r="J43" s="76"/>
      <c r="K43" s="76"/>
      <c r="L43" s="76"/>
      <c r="M43" s="76"/>
      <c r="N43" s="76"/>
      <c r="O43" s="77"/>
    </row>
    <row r="44" spans="2:15" ht="15" thickBot="1" x14ac:dyDescent="0.4">
      <c r="B44" s="26">
        <f t="shared" si="0"/>
        <v>7</v>
      </c>
      <c r="C44" s="75" t="s">
        <v>88</v>
      </c>
      <c r="D44" s="76"/>
      <c r="E44" s="76"/>
      <c r="F44" s="76"/>
      <c r="G44" s="76"/>
      <c r="H44" s="76"/>
      <c r="I44" s="76"/>
      <c r="J44" s="76"/>
      <c r="K44" s="76"/>
      <c r="L44" s="76"/>
      <c r="M44" s="76"/>
      <c r="N44" s="76"/>
      <c r="O44" s="77"/>
    </row>
    <row r="45" spans="2:15" ht="15" thickBot="1" x14ac:dyDescent="0.4">
      <c r="B45" s="26">
        <f t="shared" si="0"/>
        <v>8</v>
      </c>
      <c r="C45" s="75" t="s">
        <v>74</v>
      </c>
      <c r="D45" s="76"/>
      <c r="E45" s="76"/>
      <c r="F45" s="76"/>
      <c r="G45" s="76"/>
      <c r="H45" s="76"/>
      <c r="I45" s="76"/>
      <c r="J45" s="76"/>
      <c r="K45" s="76"/>
      <c r="L45" s="76"/>
      <c r="M45" s="76"/>
      <c r="N45" s="76"/>
      <c r="O45" s="77"/>
    </row>
    <row r="46" spans="2:15" ht="15" thickBot="1" x14ac:dyDescent="0.4">
      <c r="B46" s="26">
        <f t="shared" si="0"/>
        <v>9</v>
      </c>
      <c r="C46" s="72" t="s">
        <v>89</v>
      </c>
      <c r="D46" s="73"/>
      <c r="E46" s="73"/>
      <c r="F46" s="73"/>
      <c r="G46" s="73"/>
      <c r="H46" s="73"/>
      <c r="I46" s="73"/>
      <c r="J46" s="73"/>
      <c r="K46" s="73"/>
      <c r="L46" s="73"/>
      <c r="M46" s="73"/>
      <c r="N46" s="73"/>
      <c r="O46" s="74"/>
    </row>
  </sheetData>
  <sheetProtection algorithmName="SHA-512" hashValue="A5DAi2snjB265Fnx6Mwn60w3wwbqWflchI7T+d5wfwN+l1jMlJbxUnOIjpmk98NayY9GA78Wtt5Wc77EcKxgLw==" saltValue="yWvGHYTUYsteq6GWmvoOLA==" spinCount="100000" sheet="1" objects="1" scenarios="1"/>
  <mergeCells count="112">
    <mergeCell ref="N31:O31"/>
    <mergeCell ref="N32:O32"/>
    <mergeCell ref="C30:O30"/>
    <mergeCell ref="C27:O27"/>
    <mergeCell ref="L31:M31"/>
    <mergeCell ref="L32:M32"/>
    <mergeCell ref="F29:G29"/>
    <mergeCell ref="H29:I29"/>
    <mergeCell ref="J29:K29"/>
    <mergeCell ref="F31:G31"/>
    <mergeCell ref="H31:I31"/>
    <mergeCell ref="J31:K31"/>
    <mergeCell ref="N25:O25"/>
    <mergeCell ref="L24:M24"/>
    <mergeCell ref="L25:M25"/>
    <mergeCell ref="L26:M26"/>
    <mergeCell ref="L28:M28"/>
    <mergeCell ref="L29:M29"/>
    <mergeCell ref="L18:M18"/>
    <mergeCell ref="L19:M19"/>
    <mergeCell ref="L20:M20"/>
    <mergeCell ref="L21:M21"/>
    <mergeCell ref="L23:M23"/>
    <mergeCell ref="N26:O26"/>
    <mergeCell ref="N28:O28"/>
    <mergeCell ref="N29:O29"/>
    <mergeCell ref="L10:M10"/>
    <mergeCell ref="L12:M12"/>
    <mergeCell ref="L13:M13"/>
    <mergeCell ref="L14:M14"/>
    <mergeCell ref="L16:M16"/>
    <mergeCell ref="C15:O15"/>
    <mergeCell ref="C10:E11"/>
    <mergeCell ref="F10:G10"/>
    <mergeCell ref="H10:I10"/>
    <mergeCell ref="J10:K10"/>
    <mergeCell ref="F12:G12"/>
    <mergeCell ref="H12:I12"/>
    <mergeCell ref="J12:K12"/>
    <mergeCell ref="F13:G13"/>
    <mergeCell ref="H13:I13"/>
    <mergeCell ref="J13:K13"/>
    <mergeCell ref="F14:G14"/>
    <mergeCell ref="H14:I14"/>
    <mergeCell ref="J14:K14"/>
    <mergeCell ref="F16:G16"/>
    <mergeCell ref="N10:O10"/>
    <mergeCell ref="N12:O12"/>
    <mergeCell ref="N13:O13"/>
    <mergeCell ref="N14:O14"/>
    <mergeCell ref="H16:I16"/>
    <mergeCell ref="J16:K16"/>
    <mergeCell ref="C17:O17"/>
    <mergeCell ref="F19:G19"/>
    <mergeCell ref="H19:I19"/>
    <mergeCell ref="J19:K19"/>
    <mergeCell ref="F20:G20"/>
    <mergeCell ref="H20:I20"/>
    <mergeCell ref="J20:K20"/>
    <mergeCell ref="F18:G18"/>
    <mergeCell ref="H18:I18"/>
    <mergeCell ref="J18:K18"/>
    <mergeCell ref="N16:O16"/>
    <mergeCell ref="N18:O18"/>
    <mergeCell ref="N19:O19"/>
    <mergeCell ref="N20:O20"/>
    <mergeCell ref="F21:G21"/>
    <mergeCell ref="H21:I21"/>
    <mergeCell ref="J21:K21"/>
    <mergeCell ref="F23:G23"/>
    <mergeCell ref="H23:I23"/>
    <mergeCell ref="J23:K23"/>
    <mergeCell ref="F24:G24"/>
    <mergeCell ref="H24:I24"/>
    <mergeCell ref="J24:K24"/>
    <mergeCell ref="C22:O22"/>
    <mergeCell ref="N21:O21"/>
    <mergeCell ref="N23:O23"/>
    <mergeCell ref="N24:O24"/>
    <mergeCell ref="F25:G25"/>
    <mergeCell ref="H25:I25"/>
    <mergeCell ref="J25:K25"/>
    <mergeCell ref="F26:G26"/>
    <mergeCell ref="H26:I26"/>
    <mergeCell ref="J26:K26"/>
    <mergeCell ref="F28:G28"/>
    <mergeCell ref="H28:I28"/>
    <mergeCell ref="J28:K28"/>
    <mergeCell ref="C46:O46"/>
    <mergeCell ref="C41:O41"/>
    <mergeCell ref="C42:O42"/>
    <mergeCell ref="C43:O43"/>
    <mergeCell ref="C44:O44"/>
    <mergeCell ref="C45:O45"/>
    <mergeCell ref="C40:O40"/>
    <mergeCell ref="F32:G32"/>
    <mergeCell ref="H32:I32"/>
    <mergeCell ref="J32:K32"/>
    <mergeCell ref="F34:G34"/>
    <mergeCell ref="H34:I34"/>
    <mergeCell ref="J34:K34"/>
    <mergeCell ref="F35:G35"/>
    <mergeCell ref="H35:I35"/>
    <mergeCell ref="J35:K35"/>
    <mergeCell ref="C38:O38"/>
    <mergeCell ref="C39:O39"/>
    <mergeCell ref="N34:O34"/>
    <mergeCell ref="N35:O35"/>
    <mergeCell ref="C33:O33"/>
    <mergeCell ref="C36:O36"/>
    <mergeCell ref="L34:M34"/>
    <mergeCell ref="L35:M3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6FF11-46A2-433A-9E92-1E554B41D985}">
  <dimension ref="B1:R49"/>
  <sheetViews>
    <sheetView zoomScale="90" zoomScaleNormal="90" workbookViewId="0">
      <selection activeCell="F12" sqref="F12:G12 F14:G14"/>
    </sheetView>
  </sheetViews>
  <sheetFormatPr defaultColWidth="8.81640625" defaultRowHeight="14.5" x14ac:dyDescent="0.35"/>
  <cols>
    <col min="1" max="1" width="8.81640625" style="4"/>
    <col min="2" max="2" width="5.453125" style="1" customWidth="1"/>
    <col min="3" max="3" width="56.1796875" style="2" customWidth="1"/>
    <col min="4" max="4" width="4.54296875" style="3" customWidth="1"/>
    <col min="5" max="5" width="17.81640625" style="2" customWidth="1"/>
    <col min="6" max="6" width="10.81640625" style="4" customWidth="1"/>
    <col min="7" max="7" width="8.36328125" style="4" customWidth="1"/>
    <col min="8" max="8" width="10.81640625" style="4" customWidth="1"/>
    <col min="9" max="9" width="7.453125" style="4" customWidth="1"/>
    <col min="10" max="10" width="12" style="4" customWidth="1"/>
    <col min="11" max="11" width="6.90625" style="4" customWidth="1"/>
    <col min="12" max="12" width="12" style="4" customWidth="1"/>
    <col min="13" max="13" width="7.36328125" style="4" customWidth="1"/>
    <col min="14" max="14" width="12" style="4" customWidth="1"/>
    <col min="15" max="15" width="7.7265625" style="4" customWidth="1"/>
    <col min="16" max="17" width="8.81640625" style="4"/>
    <col min="18" max="18" width="9.54296875" style="4" bestFit="1" customWidth="1"/>
    <col min="19" max="16384" width="8.81640625" style="4"/>
  </cols>
  <sheetData>
    <row r="1" spans="3:15" ht="15" thickBot="1" x14ac:dyDescent="0.4">
      <c r="C1" s="60" t="s">
        <v>95</v>
      </c>
    </row>
    <row r="2" spans="3:15" x14ac:dyDescent="0.35">
      <c r="C2" s="5" t="s">
        <v>0</v>
      </c>
      <c r="D2" s="6"/>
      <c r="E2" s="7"/>
      <c r="F2" s="8"/>
      <c r="G2" s="8"/>
      <c r="H2" s="8"/>
      <c r="I2" s="8"/>
      <c r="J2" s="8"/>
      <c r="K2" s="8"/>
      <c r="L2" s="8"/>
      <c r="M2" s="8"/>
      <c r="N2" s="8"/>
      <c r="O2" s="9"/>
    </row>
    <row r="3" spans="3:15" x14ac:dyDescent="0.35">
      <c r="C3" s="10" t="s">
        <v>1</v>
      </c>
      <c r="D3" s="11" t="s">
        <v>2</v>
      </c>
      <c r="E3" s="61">
        <v>10000000</v>
      </c>
      <c r="F3" s="12"/>
      <c r="G3" s="12"/>
      <c r="H3" s="12"/>
      <c r="I3" s="12"/>
      <c r="J3" s="12"/>
      <c r="K3" s="12"/>
      <c r="L3" s="12"/>
      <c r="M3" s="12"/>
      <c r="N3" s="12"/>
      <c r="O3" s="13"/>
    </row>
    <row r="4" spans="3:15" x14ac:dyDescent="0.35">
      <c r="C4" s="10" t="s">
        <v>3</v>
      </c>
      <c r="D4" s="11" t="s">
        <v>4</v>
      </c>
      <c r="E4" s="62">
        <v>0.02</v>
      </c>
      <c r="F4" s="12"/>
      <c r="G4" s="12"/>
      <c r="H4" s="12"/>
      <c r="I4" s="12"/>
      <c r="J4" s="12"/>
      <c r="K4" s="12"/>
      <c r="L4" s="12"/>
      <c r="M4" s="12"/>
      <c r="N4" s="12"/>
      <c r="O4" s="13"/>
    </row>
    <row r="5" spans="3:15" x14ac:dyDescent="0.35">
      <c r="C5" s="10" t="s">
        <v>5</v>
      </c>
      <c r="D5" s="11" t="s">
        <v>6</v>
      </c>
      <c r="E5" s="62">
        <v>0</v>
      </c>
      <c r="F5" s="12"/>
      <c r="G5" s="12"/>
      <c r="H5" s="12"/>
      <c r="I5" s="12"/>
      <c r="J5" s="12"/>
      <c r="K5" s="12"/>
      <c r="L5" s="12"/>
      <c r="M5" s="12"/>
      <c r="N5" s="12"/>
      <c r="O5" s="13"/>
    </row>
    <row r="6" spans="3:15" x14ac:dyDescent="0.35">
      <c r="C6" s="10" t="s">
        <v>7</v>
      </c>
      <c r="D6" s="11" t="s">
        <v>8</v>
      </c>
      <c r="E6" s="62">
        <v>0.2</v>
      </c>
      <c r="F6" s="12"/>
      <c r="G6" s="12"/>
      <c r="H6" s="12"/>
      <c r="I6" s="12"/>
      <c r="J6" s="12"/>
      <c r="K6" s="12"/>
      <c r="L6" s="12"/>
      <c r="M6" s="12"/>
      <c r="N6" s="12"/>
      <c r="O6" s="13"/>
    </row>
    <row r="7" spans="3:15" x14ac:dyDescent="0.35">
      <c r="C7" s="10" t="s">
        <v>9</v>
      </c>
      <c r="D7" s="11" t="s">
        <v>10</v>
      </c>
      <c r="E7" s="62">
        <v>0.15</v>
      </c>
      <c r="F7" s="12"/>
      <c r="G7" s="12"/>
      <c r="H7" s="12"/>
      <c r="I7" s="12"/>
      <c r="J7" s="12"/>
      <c r="K7" s="12"/>
      <c r="L7" s="12"/>
      <c r="M7" s="12"/>
      <c r="N7" s="12"/>
      <c r="O7" s="13"/>
    </row>
    <row r="8" spans="3:15" x14ac:dyDescent="0.35">
      <c r="C8" s="10" t="s">
        <v>11</v>
      </c>
      <c r="D8" s="11" t="s">
        <v>12</v>
      </c>
      <c r="E8" s="62">
        <v>2.0999999999999999E-3</v>
      </c>
      <c r="F8" s="12"/>
      <c r="G8" s="12"/>
      <c r="H8" s="12"/>
      <c r="I8" s="12"/>
      <c r="J8" s="12"/>
      <c r="K8" s="12"/>
      <c r="L8" s="12"/>
      <c r="M8" s="12"/>
      <c r="N8" s="12"/>
      <c r="O8" s="13"/>
    </row>
    <row r="9" spans="3:15" ht="15" thickBot="1" x14ac:dyDescent="0.4">
      <c r="C9" s="38"/>
      <c r="D9" s="24"/>
      <c r="E9" s="25"/>
      <c r="F9" s="15"/>
      <c r="G9" s="16"/>
      <c r="H9" s="16"/>
      <c r="I9" s="16"/>
      <c r="J9" s="16"/>
      <c r="K9" s="16"/>
      <c r="L9" s="16"/>
      <c r="M9" s="16"/>
      <c r="N9" s="16"/>
      <c r="O9" s="27"/>
    </row>
    <row r="10" spans="3:15" x14ac:dyDescent="0.35">
      <c r="C10" s="92" t="s">
        <v>13</v>
      </c>
      <c r="D10" s="93"/>
      <c r="E10" s="93"/>
      <c r="F10" s="89" t="s">
        <v>90</v>
      </c>
      <c r="G10" s="89"/>
      <c r="H10" s="89" t="s">
        <v>91</v>
      </c>
      <c r="I10" s="89"/>
      <c r="J10" s="89" t="s">
        <v>92</v>
      </c>
      <c r="K10" s="89"/>
      <c r="L10" s="89" t="s">
        <v>93</v>
      </c>
      <c r="M10" s="89"/>
      <c r="N10" s="89" t="s">
        <v>94</v>
      </c>
      <c r="O10" s="96"/>
    </row>
    <row r="11" spans="3:15" x14ac:dyDescent="0.35">
      <c r="C11" s="103"/>
      <c r="D11" s="104"/>
      <c r="E11" s="104"/>
      <c r="F11" s="17" t="str">
        <f>IF(G11&gt;=0,"Gain of","Loss of")</f>
        <v>Gain of</v>
      </c>
      <c r="G11" s="68">
        <v>0.25</v>
      </c>
      <c r="H11" s="17" t="str">
        <f>IF(I11&gt;=0,"Gain of","Loss of")</f>
        <v>Loss of</v>
      </c>
      <c r="I11" s="68">
        <v>-0.1</v>
      </c>
      <c r="J11" s="17" t="str">
        <f>IF(K11&gt;=0,"Gain of","Loss of")</f>
        <v>Gain of</v>
      </c>
      <c r="K11" s="68">
        <v>0.21</v>
      </c>
      <c r="L11" s="17" t="str">
        <f>IF(M11&gt;=0,"Gain of","Loss of")</f>
        <v>Gain of</v>
      </c>
      <c r="M11" s="68">
        <v>0.2</v>
      </c>
      <c r="N11" s="17" t="str">
        <f>IF(O11&gt;=0,"Gain of","Loss of")</f>
        <v>Loss of</v>
      </c>
      <c r="O11" s="69">
        <v>-0.1</v>
      </c>
    </row>
    <row r="12" spans="3:15" x14ac:dyDescent="0.35">
      <c r="C12" s="10" t="s">
        <v>14</v>
      </c>
      <c r="D12" s="11" t="s">
        <v>15</v>
      </c>
      <c r="E12" s="18" t="s">
        <v>16</v>
      </c>
      <c r="F12" s="91">
        <f>+$E$3</f>
        <v>10000000</v>
      </c>
      <c r="G12" s="91"/>
      <c r="H12" s="91">
        <f>F31</f>
        <v>12101478</v>
      </c>
      <c r="I12" s="91"/>
      <c r="J12" s="91">
        <f>H31</f>
        <v>10637742.5183622</v>
      </c>
      <c r="K12" s="91"/>
      <c r="L12" s="91">
        <f>J31</f>
        <v>12612383.153678875</v>
      </c>
      <c r="M12" s="91"/>
      <c r="N12" s="91">
        <f>L31</f>
        <v>14823552.096500535</v>
      </c>
      <c r="O12" s="98"/>
    </row>
    <row r="13" spans="3:15" x14ac:dyDescent="0.35">
      <c r="C13" s="10" t="s">
        <v>17</v>
      </c>
      <c r="D13" s="11" t="s">
        <v>18</v>
      </c>
      <c r="E13" s="18" t="s">
        <v>19</v>
      </c>
      <c r="F13" s="91">
        <f>F12*G11</f>
        <v>2500000</v>
      </c>
      <c r="G13" s="91"/>
      <c r="H13" s="91">
        <f>H12*I11</f>
        <v>-1210147.8</v>
      </c>
      <c r="I13" s="91"/>
      <c r="J13" s="91">
        <f>J12*K11</f>
        <v>2233925.9288560618</v>
      </c>
      <c r="K13" s="91"/>
      <c r="L13" s="91">
        <f>L12*M11</f>
        <v>2522476.6307357755</v>
      </c>
      <c r="M13" s="91"/>
      <c r="N13" s="91">
        <f>N12*O11</f>
        <v>-1482355.2096500536</v>
      </c>
      <c r="O13" s="98"/>
    </row>
    <row r="14" spans="3:15" x14ac:dyDescent="0.35">
      <c r="C14" s="10" t="s">
        <v>20</v>
      </c>
      <c r="D14" s="11" t="s">
        <v>21</v>
      </c>
      <c r="E14" s="18" t="s">
        <v>22</v>
      </c>
      <c r="F14" s="91">
        <f>F12+F13</f>
        <v>12500000</v>
      </c>
      <c r="G14" s="91"/>
      <c r="H14" s="91">
        <f>H12+H13</f>
        <v>10891330.199999999</v>
      </c>
      <c r="I14" s="91"/>
      <c r="J14" s="91">
        <f>J12+J13</f>
        <v>12871668.447218262</v>
      </c>
      <c r="K14" s="91"/>
      <c r="L14" s="91">
        <f>L12+L13</f>
        <v>15134859.784414651</v>
      </c>
      <c r="M14" s="91"/>
      <c r="N14" s="91">
        <f>N12+N13</f>
        <v>13341196.88685048</v>
      </c>
      <c r="O14" s="98"/>
    </row>
    <row r="15" spans="3:15" x14ac:dyDescent="0.35">
      <c r="C15" s="83"/>
      <c r="D15" s="84"/>
      <c r="E15" s="84"/>
      <c r="F15" s="84"/>
      <c r="G15" s="84"/>
      <c r="H15" s="84"/>
      <c r="I15" s="84"/>
      <c r="J15" s="84"/>
      <c r="K15" s="84"/>
      <c r="L15" s="84"/>
      <c r="M15" s="84"/>
      <c r="N15" s="84"/>
      <c r="O15" s="85"/>
    </row>
    <row r="16" spans="3:15" x14ac:dyDescent="0.35">
      <c r="C16" s="10" t="s">
        <v>23</v>
      </c>
      <c r="D16" s="11" t="s">
        <v>24</v>
      </c>
      <c r="E16" s="18" t="s">
        <v>25</v>
      </c>
      <c r="F16" s="79">
        <f>(F12+F14)/2</f>
        <v>11250000</v>
      </c>
      <c r="G16" s="79"/>
      <c r="H16" s="79">
        <f>(H12+H14)/2</f>
        <v>11496404.1</v>
      </c>
      <c r="I16" s="79"/>
      <c r="J16" s="79">
        <f>(J12+J14)/2</f>
        <v>11754705.482790232</v>
      </c>
      <c r="K16" s="79"/>
      <c r="L16" s="79">
        <f>(L12+L14)/2</f>
        <v>13873621.469046764</v>
      </c>
      <c r="M16" s="79"/>
      <c r="N16" s="79">
        <f>(N12+N14)/2</f>
        <v>14082374.491675507</v>
      </c>
      <c r="O16" s="81"/>
    </row>
    <row r="17" spans="3:18" x14ac:dyDescent="0.35">
      <c r="C17" s="83"/>
      <c r="D17" s="84"/>
      <c r="E17" s="84"/>
      <c r="F17" s="84"/>
      <c r="G17" s="84"/>
      <c r="H17" s="84"/>
      <c r="I17" s="84"/>
      <c r="J17" s="84"/>
      <c r="K17" s="84"/>
      <c r="L17" s="84"/>
      <c r="M17" s="84"/>
      <c r="N17" s="84"/>
      <c r="O17" s="85"/>
      <c r="R17" s="19"/>
    </row>
    <row r="18" spans="3:18" x14ac:dyDescent="0.35">
      <c r="C18" s="10" t="s">
        <v>26</v>
      </c>
      <c r="D18" s="11" t="s">
        <v>27</v>
      </c>
      <c r="E18" s="18" t="s">
        <v>28</v>
      </c>
      <c r="F18" s="79">
        <f>+F16*-$E$5</f>
        <v>0</v>
      </c>
      <c r="G18" s="79"/>
      <c r="H18" s="79">
        <f>+H16*-$E$5</f>
        <v>0</v>
      </c>
      <c r="I18" s="79"/>
      <c r="J18" s="79">
        <f>+J16*-$E$5</f>
        <v>0</v>
      </c>
      <c r="K18" s="79"/>
      <c r="L18" s="79">
        <f>+L16*-$E$5</f>
        <v>0</v>
      </c>
      <c r="M18" s="79"/>
      <c r="N18" s="79">
        <f>+N16*-$E$5</f>
        <v>0</v>
      </c>
      <c r="O18" s="81"/>
    </row>
    <row r="19" spans="3:18" x14ac:dyDescent="0.35">
      <c r="C19" s="10" t="s">
        <v>11</v>
      </c>
      <c r="D19" s="11" t="s">
        <v>29</v>
      </c>
      <c r="E19" s="18" t="s">
        <v>30</v>
      </c>
      <c r="F19" s="79">
        <f>+F16*-$E$8</f>
        <v>-23625</v>
      </c>
      <c r="G19" s="79"/>
      <c r="H19" s="79">
        <f>+H16*-$E$8</f>
        <v>-24142.448609999999</v>
      </c>
      <c r="I19" s="79"/>
      <c r="J19" s="79">
        <f>+J16*-$E$8</f>
        <v>-24684.881513859484</v>
      </c>
      <c r="K19" s="79"/>
      <c r="L19" s="79">
        <f>+L16*-$E$8</f>
        <v>-29134.605084998202</v>
      </c>
      <c r="M19" s="79"/>
      <c r="N19" s="79">
        <f>+N16*-$E$8</f>
        <v>-29572.986432518563</v>
      </c>
      <c r="O19" s="81"/>
    </row>
    <row r="20" spans="3:18" x14ac:dyDescent="0.35">
      <c r="C20" s="10" t="s">
        <v>31</v>
      </c>
      <c r="D20" s="11" t="s">
        <v>32</v>
      </c>
      <c r="E20" s="14" t="s">
        <v>33</v>
      </c>
      <c r="F20" s="79">
        <f>+(F16+F18+F19)*-$E$4</f>
        <v>-224527.5</v>
      </c>
      <c r="G20" s="79"/>
      <c r="H20" s="79">
        <f>+(H16+H18+H19)*-$E$4</f>
        <v>-229445.23302779999</v>
      </c>
      <c r="I20" s="79"/>
      <c r="J20" s="79">
        <f>+(J16+J18+J19)*-$E$4</f>
        <v>-234600.41202552745</v>
      </c>
      <c r="K20" s="79"/>
      <c r="L20" s="79">
        <f>+(L16+L18+L19)*-$E$4</f>
        <v>-276889.73727923533</v>
      </c>
      <c r="M20" s="79"/>
      <c r="N20" s="79">
        <f>+(N16+N18+N19)*-$E$4</f>
        <v>-281056.03010485979</v>
      </c>
      <c r="O20" s="81"/>
    </row>
    <row r="21" spans="3:18" x14ac:dyDescent="0.35">
      <c r="C21" s="10" t="s">
        <v>34</v>
      </c>
      <c r="D21" s="11" t="s">
        <v>35</v>
      </c>
      <c r="E21" s="14" t="s">
        <v>36</v>
      </c>
      <c r="F21" s="79">
        <f>+F18+F20+F19</f>
        <v>-248152.5</v>
      </c>
      <c r="G21" s="79"/>
      <c r="H21" s="79">
        <f>+H18+H20+H19</f>
        <v>-253587.68163779998</v>
      </c>
      <c r="I21" s="79"/>
      <c r="J21" s="79">
        <f>+J18+J20+J19</f>
        <v>-259285.29353938694</v>
      </c>
      <c r="K21" s="79"/>
      <c r="L21" s="79">
        <f>+L18+L20+L19</f>
        <v>-306024.34236423351</v>
      </c>
      <c r="M21" s="79"/>
      <c r="N21" s="79">
        <f>+N18+N20+N19</f>
        <v>-310629.01653737837</v>
      </c>
      <c r="O21" s="81"/>
    </row>
    <row r="22" spans="3:18" x14ac:dyDescent="0.35">
      <c r="C22" s="83"/>
      <c r="D22" s="84"/>
      <c r="E22" s="84"/>
      <c r="F22" s="84"/>
      <c r="G22" s="84"/>
      <c r="H22" s="84"/>
      <c r="I22" s="84"/>
      <c r="J22" s="84"/>
      <c r="K22" s="84"/>
      <c r="L22" s="84"/>
      <c r="M22" s="84"/>
      <c r="N22" s="84"/>
      <c r="O22" s="85"/>
    </row>
    <row r="23" spans="3:18" x14ac:dyDescent="0.35">
      <c r="C23" s="10" t="s">
        <v>37</v>
      </c>
      <c r="D23" s="11" t="s">
        <v>38</v>
      </c>
      <c r="E23" s="14" t="s">
        <v>39</v>
      </c>
      <c r="F23" s="79">
        <f>F14+F21</f>
        <v>12251847.5</v>
      </c>
      <c r="G23" s="79"/>
      <c r="H23" s="79">
        <f>H14+H21</f>
        <v>10637742.5183622</v>
      </c>
      <c r="I23" s="79"/>
      <c r="J23" s="79">
        <f>J14+J21</f>
        <v>12612383.153678875</v>
      </c>
      <c r="K23" s="79"/>
      <c r="L23" s="79">
        <f>L14+L21</f>
        <v>14828835.442050418</v>
      </c>
      <c r="M23" s="79"/>
      <c r="N23" s="79">
        <f>N14+N21</f>
        <v>13030567.870313102</v>
      </c>
      <c r="O23" s="81"/>
    </row>
    <row r="24" spans="3:18" ht="29" x14ac:dyDescent="0.35">
      <c r="C24" s="10" t="s">
        <v>40</v>
      </c>
      <c r="D24" s="11" t="s">
        <v>41</v>
      </c>
      <c r="E24" s="14"/>
      <c r="F24" s="79">
        <f>F12</f>
        <v>10000000</v>
      </c>
      <c r="G24" s="79"/>
      <c r="H24" s="79">
        <f>MAX(F14,F12)</f>
        <v>12500000</v>
      </c>
      <c r="I24" s="79"/>
      <c r="J24" s="79">
        <f>MAX(H14,H12,F14)</f>
        <v>12500000</v>
      </c>
      <c r="K24" s="79"/>
      <c r="L24" s="79">
        <f>MAX(J14,J12,H14,H12,F14)</f>
        <v>12871668.447218262</v>
      </c>
      <c r="M24" s="79"/>
      <c r="N24" s="79">
        <f>MAX(L14,L12,J14,J12,H14,H12,F14)</f>
        <v>15134859.784414651</v>
      </c>
      <c r="O24" s="81"/>
    </row>
    <row r="25" spans="3:18" x14ac:dyDescent="0.35">
      <c r="C25" s="20" t="s">
        <v>42</v>
      </c>
      <c r="D25" s="11" t="s">
        <v>43</v>
      </c>
      <c r="E25" s="21" t="s">
        <v>44</v>
      </c>
      <c r="F25" s="79">
        <f>(F24*$E$7)</f>
        <v>1500000</v>
      </c>
      <c r="G25" s="79"/>
      <c r="H25" s="79">
        <f>(H24*$E$7)</f>
        <v>1875000</v>
      </c>
      <c r="I25" s="79"/>
      <c r="J25" s="79">
        <f>(J24*$E$7)</f>
        <v>1875000</v>
      </c>
      <c r="K25" s="79"/>
      <c r="L25" s="79">
        <f>(L24*$E$7)</f>
        <v>1930750.2670827392</v>
      </c>
      <c r="M25" s="79"/>
      <c r="N25" s="79">
        <f>(N24*$E$7)</f>
        <v>2270228.9676621975</v>
      </c>
      <c r="O25" s="81"/>
    </row>
    <row r="26" spans="3:18" ht="29" x14ac:dyDescent="0.35">
      <c r="C26" s="10" t="s">
        <v>45</v>
      </c>
      <c r="D26" s="11" t="s">
        <v>46</v>
      </c>
      <c r="E26" s="14" t="s">
        <v>47</v>
      </c>
      <c r="F26" s="79" t="str">
        <f>IF(F23&gt;(F24+F25),("Yes"),("No Pfee"))</f>
        <v>Yes</v>
      </c>
      <c r="G26" s="79"/>
      <c r="H26" s="79" t="str">
        <f>IF(H23&gt;(H24+H25),("Yes"),("No Pfee"))</f>
        <v>No Pfee</v>
      </c>
      <c r="I26" s="79"/>
      <c r="J26" s="79" t="str">
        <f>IF(J23&gt;(J24+J25),("Yes"),("No Pfee"))</f>
        <v>No Pfee</v>
      </c>
      <c r="K26" s="79"/>
      <c r="L26" s="79" t="str">
        <f>IF(L23&gt;(L24+L25),("Yes"),("No Pfee"))</f>
        <v>Yes</v>
      </c>
      <c r="M26" s="79"/>
      <c r="N26" s="79" t="str">
        <f>IF(N23&gt;(N24+N25),("Yes"),("No Pfee"))</f>
        <v>No Pfee</v>
      </c>
      <c r="O26" s="81"/>
    </row>
    <row r="27" spans="3:18" ht="15" customHeight="1" x14ac:dyDescent="0.35">
      <c r="C27" s="100" t="s">
        <v>48</v>
      </c>
      <c r="D27" s="101"/>
      <c r="E27" s="101"/>
      <c r="F27" s="101"/>
      <c r="G27" s="101"/>
      <c r="H27" s="101"/>
      <c r="I27" s="101"/>
      <c r="J27" s="101"/>
      <c r="K27" s="101"/>
      <c r="L27" s="101"/>
      <c r="M27" s="101"/>
      <c r="N27" s="101"/>
      <c r="O27" s="102"/>
    </row>
    <row r="28" spans="3:18" x14ac:dyDescent="0.35">
      <c r="C28" s="10" t="s">
        <v>49</v>
      </c>
      <c r="D28" s="11" t="s">
        <v>50</v>
      </c>
      <c r="E28" s="14" t="s">
        <v>51</v>
      </c>
      <c r="F28" s="79">
        <f>+IF(F26="Yes",(F23-F24-F25),(0))</f>
        <v>751847.5</v>
      </c>
      <c r="G28" s="79"/>
      <c r="H28" s="79">
        <f>+IF(H26="Yes",(H23-H24-H25),(0))</f>
        <v>0</v>
      </c>
      <c r="I28" s="79"/>
      <c r="J28" s="79">
        <f>+IF(J26="Yes",(J23-J24-J25),(0))</f>
        <v>0</v>
      </c>
      <c r="K28" s="79"/>
      <c r="L28" s="79">
        <f>+IF(L26="Yes",(L23-L24-L25),(0))</f>
        <v>26416.72774941707</v>
      </c>
      <c r="M28" s="79"/>
      <c r="N28" s="79">
        <f>+IF(N26="Yes",(N23-N24-N25),(0))</f>
        <v>0</v>
      </c>
      <c r="O28" s="81"/>
    </row>
    <row r="29" spans="3:18" x14ac:dyDescent="0.35">
      <c r="C29" s="20" t="s">
        <v>52</v>
      </c>
      <c r="D29" s="11" t="s">
        <v>53</v>
      </c>
      <c r="E29" s="21" t="s">
        <v>54</v>
      </c>
      <c r="F29" s="79">
        <f>+F28*-$E$6</f>
        <v>-150369.5</v>
      </c>
      <c r="G29" s="79"/>
      <c r="H29" s="79">
        <f>+H28*-$E$6</f>
        <v>0</v>
      </c>
      <c r="I29" s="79"/>
      <c r="J29" s="79">
        <f>+J28*-$E$6</f>
        <v>0</v>
      </c>
      <c r="K29" s="79"/>
      <c r="L29" s="79">
        <f>+L28*-$E$6</f>
        <v>-5283.3455498834146</v>
      </c>
      <c r="M29" s="79"/>
      <c r="N29" s="79">
        <f>+N28*-$E$6</f>
        <v>0</v>
      </c>
      <c r="O29" s="81"/>
    </row>
    <row r="30" spans="3:18" x14ac:dyDescent="0.35">
      <c r="C30" s="83"/>
      <c r="D30" s="84"/>
      <c r="E30" s="84"/>
      <c r="F30" s="84"/>
      <c r="G30" s="84"/>
      <c r="H30" s="84"/>
      <c r="I30" s="84"/>
      <c r="J30" s="84"/>
      <c r="K30" s="84"/>
      <c r="L30" s="84"/>
      <c r="M30" s="84"/>
      <c r="N30" s="84"/>
      <c r="O30" s="85"/>
    </row>
    <row r="31" spans="3:18" ht="29" x14ac:dyDescent="0.35">
      <c r="C31" s="10" t="s">
        <v>55</v>
      </c>
      <c r="D31" s="11" t="s">
        <v>56</v>
      </c>
      <c r="E31" s="14" t="s">
        <v>57</v>
      </c>
      <c r="F31" s="79">
        <f>+F23+F29</f>
        <v>12101478</v>
      </c>
      <c r="G31" s="79"/>
      <c r="H31" s="79">
        <f>+H23+H29</f>
        <v>10637742.5183622</v>
      </c>
      <c r="I31" s="79"/>
      <c r="J31" s="79">
        <f>+J23+J29</f>
        <v>12612383.153678875</v>
      </c>
      <c r="K31" s="79"/>
      <c r="L31" s="79">
        <f>+L23+L29</f>
        <v>14823552.096500535</v>
      </c>
      <c r="M31" s="79"/>
      <c r="N31" s="79">
        <f>+N23+N29</f>
        <v>13030567.870313102</v>
      </c>
      <c r="O31" s="81"/>
    </row>
    <row r="32" spans="3:18" x14ac:dyDescent="0.35">
      <c r="C32" s="10" t="s">
        <v>58</v>
      </c>
      <c r="D32" s="11" t="s">
        <v>59</v>
      </c>
      <c r="E32" s="14" t="s">
        <v>60</v>
      </c>
      <c r="F32" s="78">
        <f>+F31/F12-1</f>
        <v>0.21014780000000011</v>
      </c>
      <c r="G32" s="78"/>
      <c r="H32" s="78">
        <f>+H31/H12-1</f>
        <v>-0.12095509999999998</v>
      </c>
      <c r="I32" s="78"/>
      <c r="J32" s="78">
        <f>+J31/J12-1</f>
        <v>0.18562590999999995</v>
      </c>
      <c r="K32" s="78"/>
      <c r="L32" s="78">
        <f>+L31/L12-1</f>
        <v>0.1753172985532625</v>
      </c>
      <c r="M32" s="78"/>
      <c r="N32" s="78">
        <f>+N31/N12-1</f>
        <v>-0.12095509999999998</v>
      </c>
      <c r="O32" s="99"/>
    </row>
    <row r="33" spans="2:16" x14ac:dyDescent="0.35">
      <c r="C33" s="83"/>
      <c r="D33" s="84"/>
      <c r="E33" s="84"/>
      <c r="F33" s="84"/>
      <c r="G33" s="84"/>
      <c r="H33" s="84"/>
      <c r="I33" s="84"/>
      <c r="J33" s="84"/>
      <c r="K33" s="84"/>
      <c r="L33" s="84"/>
      <c r="M33" s="84"/>
      <c r="N33" s="84"/>
      <c r="O33" s="85"/>
    </row>
    <row r="34" spans="2:16" ht="29" x14ac:dyDescent="0.35">
      <c r="C34" s="10" t="s">
        <v>61</v>
      </c>
      <c r="D34" s="11" t="s">
        <v>62</v>
      </c>
      <c r="E34" s="14" t="s">
        <v>63</v>
      </c>
      <c r="F34" s="79">
        <f>+MAX(F24,F31)</f>
        <v>12101478</v>
      </c>
      <c r="G34" s="79"/>
      <c r="H34" s="79">
        <f>+MAX(H24,H31)</f>
        <v>12500000</v>
      </c>
      <c r="I34" s="79"/>
      <c r="J34" s="79">
        <f>+MAX(J24,J31)</f>
        <v>12612383.153678875</v>
      </c>
      <c r="K34" s="79"/>
      <c r="L34" s="79">
        <f>+MAX(L24,L31)</f>
        <v>14823552.096500535</v>
      </c>
      <c r="M34" s="79"/>
      <c r="N34" s="79">
        <f>+MAX(N24,N31)</f>
        <v>15134859.784414651</v>
      </c>
      <c r="O34" s="81"/>
    </row>
    <row r="35" spans="2:16" ht="29.5" thickBot="1" x14ac:dyDescent="0.4">
      <c r="C35" s="32" t="s">
        <v>64</v>
      </c>
      <c r="D35" s="33" t="s">
        <v>62</v>
      </c>
      <c r="E35" s="34" t="s">
        <v>65</v>
      </c>
      <c r="F35" s="80">
        <f>+MAX(F23,F24)</f>
        <v>12251847.5</v>
      </c>
      <c r="G35" s="80"/>
      <c r="H35" s="80">
        <f>+MAX(H23,H24)</f>
        <v>12500000</v>
      </c>
      <c r="I35" s="80"/>
      <c r="J35" s="80">
        <f>+MAX(J23,J24)</f>
        <v>12612383.153678875</v>
      </c>
      <c r="K35" s="80"/>
      <c r="L35" s="80">
        <f>+MAX(L23,L24)</f>
        <v>14828835.442050418</v>
      </c>
      <c r="M35" s="80"/>
      <c r="N35" s="80">
        <f>+MAX(N23,N24)</f>
        <v>15134859.784414651</v>
      </c>
      <c r="O35" s="82"/>
    </row>
    <row r="36" spans="2:16" x14ac:dyDescent="0.35">
      <c r="C36"/>
      <c r="D36"/>
      <c r="E36"/>
      <c r="F36"/>
      <c r="G36"/>
      <c r="H36"/>
      <c r="I36"/>
      <c r="J36"/>
      <c r="K36"/>
      <c r="L36"/>
      <c r="M36"/>
      <c r="N36"/>
      <c r="O36"/>
      <c r="P36"/>
    </row>
    <row r="37" spans="2:16" ht="15" thickBot="1" x14ac:dyDescent="0.4">
      <c r="B37" s="22"/>
      <c r="C37"/>
      <c r="D37"/>
      <c r="E37"/>
      <c r="F37"/>
      <c r="G37"/>
      <c r="H37"/>
      <c r="I37"/>
      <c r="J37"/>
      <c r="K37"/>
      <c r="L37"/>
      <c r="M37"/>
      <c r="N37"/>
      <c r="O37"/>
      <c r="P37"/>
    </row>
    <row r="38" spans="2:16" ht="15" thickBot="1" x14ac:dyDescent="0.4">
      <c r="B38" s="26">
        <v>1</v>
      </c>
      <c r="C38" s="75" t="s">
        <v>67</v>
      </c>
      <c r="D38" s="76"/>
      <c r="E38" s="76"/>
      <c r="F38" s="76"/>
      <c r="G38" s="76"/>
      <c r="H38" s="76"/>
      <c r="I38" s="76"/>
      <c r="J38" s="76"/>
      <c r="K38" s="76"/>
      <c r="L38" s="76"/>
      <c r="M38" s="77"/>
      <c r="N38" s="31"/>
      <c r="O38" s="31"/>
    </row>
    <row r="39" spans="2:16" ht="15" thickBot="1" x14ac:dyDescent="0.4">
      <c r="B39" s="26">
        <f t="shared" ref="B39:B48" si="0">+B38+1</f>
        <v>2</v>
      </c>
      <c r="C39" s="75" t="s">
        <v>68</v>
      </c>
      <c r="D39" s="76"/>
      <c r="E39" s="76"/>
      <c r="F39" s="76"/>
      <c r="G39" s="76"/>
      <c r="H39" s="76"/>
      <c r="I39" s="76"/>
      <c r="J39" s="76"/>
      <c r="K39" s="76"/>
      <c r="L39" s="76"/>
      <c r="M39" s="77"/>
      <c r="N39" s="31"/>
      <c r="O39" s="31"/>
    </row>
    <row r="40" spans="2:16" ht="15" thickBot="1" x14ac:dyDescent="0.4">
      <c r="B40" s="26">
        <f t="shared" si="0"/>
        <v>3</v>
      </c>
      <c r="C40" s="75" t="s">
        <v>69</v>
      </c>
      <c r="D40" s="76"/>
      <c r="E40" s="76"/>
      <c r="F40" s="76"/>
      <c r="G40" s="76"/>
      <c r="H40" s="76"/>
      <c r="I40" s="76"/>
      <c r="J40" s="76"/>
      <c r="K40" s="76"/>
      <c r="L40" s="76"/>
      <c r="M40" s="77"/>
      <c r="N40" s="31"/>
      <c r="O40" s="31"/>
    </row>
    <row r="41" spans="2:16" ht="15" thickBot="1" x14ac:dyDescent="0.4">
      <c r="B41" s="26">
        <f t="shared" si="0"/>
        <v>4</v>
      </c>
      <c r="C41" s="75" t="s">
        <v>70</v>
      </c>
      <c r="D41" s="76"/>
      <c r="E41" s="76"/>
      <c r="F41" s="76"/>
      <c r="G41" s="76"/>
      <c r="H41" s="76"/>
      <c r="I41" s="76"/>
      <c r="J41" s="76"/>
      <c r="K41" s="76"/>
      <c r="L41" s="76"/>
      <c r="M41" s="77"/>
      <c r="N41" s="31"/>
      <c r="O41" s="31"/>
    </row>
    <row r="42" spans="2:16" ht="15" thickBot="1" x14ac:dyDescent="0.4">
      <c r="B42" s="26">
        <f t="shared" si="0"/>
        <v>5</v>
      </c>
      <c r="C42" s="75" t="s">
        <v>71</v>
      </c>
      <c r="D42" s="76"/>
      <c r="E42" s="76"/>
      <c r="F42" s="76"/>
      <c r="G42" s="76"/>
      <c r="H42" s="76"/>
      <c r="I42" s="76"/>
      <c r="J42" s="76"/>
      <c r="K42" s="76"/>
      <c r="L42" s="76"/>
      <c r="M42" s="77"/>
      <c r="N42" s="31"/>
      <c r="O42" s="31"/>
    </row>
    <row r="43" spans="2:16" ht="15" thickBot="1" x14ac:dyDescent="0.4">
      <c r="B43" s="26">
        <f t="shared" si="0"/>
        <v>6</v>
      </c>
      <c r="C43" s="75" t="s">
        <v>72</v>
      </c>
      <c r="D43" s="76"/>
      <c r="E43" s="76"/>
      <c r="F43" s="76"/>
      <c r="G43" s="76"/>
      <c r="H43" s="76"/>
      <c r="I43" s="76"/>
      <c r="J43" s="76"/>
      <c r="K43" s="76"/>
      <c r="L43" s="76"/>
      <c r="M43" s="77"/>
      <c r="N43" s="31"/>
      <c r="O43" s="31"/>
    </row>
    <row r="44" spans="2:16" ht="15" thickBot="1" x14ac:dyDescent="0.4">
      <c r="B44" s="26">
        <f t="shared" si="0"/>
        <v>7</v>
      </c>
      <c r="C44" s="75" t="s">
        <v>73</v>
      </c>
      <c r="D44" s="76"/>
      <c r="E44" s="76"/>
      <c r="F44" s="76"/>
      <c r="G44" s="76"/>
      <c r="H44" s="76"/>
      <c r="I44" s="76"/>
      <c r="J44" s="76"/>
      <c r="K44" s="76"/>
      <c r="L44" s="76"/>
      <c r="M44" s="77"/>
      <c r="N44" s="31"/>
      <c r="O44" s="31"/>
    </row>
    <row r="45" spans="2:16" ht="15" thickBot="1" x14ac:dyDescent="0.4">
      <c r="B45" s="26">
        <f t="shared" si="0"/>
        <v>8</v>
      </c>
      <c r="C45" s="75" t="s">
        <v>74</v>
      </c>
      <c r="D45" s="76"/>
      <c r="E45" s="76"/>
      <c r="F45" s="76"/>
      <c r="G45" s="76"/>
      <c r="H45" s="76"/>
      <c r="I45" s="76"/>
      <c r="J45" s="76"/>
      <c r="K45" s="76"/>
      <c r="L45" s="76"/>
      <c r="M45" s="77"/>
      <c r="N45" s="31"/>
      <c r="O45" s="31"/>
    </row>
    <row r="46" spans="2:16" ht="15" thickBot="1" x14ac:dyDescent="0.4">
      <c r="B46" s="26">
        <f t="shared" si="0"/>
        <v>9</v>
      </c>
      <c r="C46" s="72" t="s">
        <v>75</v>
      </c>
      <c r="D46" s="73"/>
      <c r="E46" s="73"/>
      <c r="F46" s="73"/>
      <c r="G46" s="73"/>
      <c r="H46" s="73"/>
      <c r="I46" s="73"/>
      <c r="J46" s="73"/>
      <c r="K46" s="73"/>
      <c r="L46" s="73"/>
      <c r="M46" s="74"/>
      <c r="N46" s="31"/>
      <c r="O46" s="31"/>
    </row>
    <row r="47" spans="2:16" ht="15" thickBot="1" x14ac:dyDescent="0.4">
      <c r="B47" s="26">
        <f t="shared" si="0"/>
        <v>10</v>
      </c>
      <c r="C47" s="72" t="s">
        <v>76</v>
      </c>
      <c r="D47" s="73"/>
      <c r="E47" s="73"/>
      <c r="F47" s="73"/>
      <c r="G47" s="73"/>
      <c r="H47" s="73"/>
      <c r="I47" s="73"/>
      <c r="J47" s="73"/>
      <c r="K47" s="73"/>
      <c r="L47" s="73"/>
      <c r="M47" s="74"/>
      <c r="N47" s="31"/>
      <c r="O47" s="31"/>
    </row>
    <row r="48" spans="2:16" ht="15" thickBot="1" x14ac:dyDescent="0.4">
      <c r="B48" s="26">
        <f t="shared" si="0"/>
        <v>11</v>
      </c>
      <c r="C48" s="72" t="s">
        <v>77</v>
      </c>
      <c r="D48" s="73"/>
      <c r="E48" s="73"/>
      <c r="F48" s="73"/>
      <c r="G48" s="73"/>
      <c r="H48" s="73"/>
      <c r="I48" s="73"/>
      <c r="J48" s="73"/>
      <c r="K48" s="73"/>
      <c r="L48" s="73"/>
      <c r="M48" s="74"/>
      <c r="N48" s="31"/>
      <c r="O48" s="31"/>
    </row>
    <row r="49" spans="2:15" ht="15" thickBot="1" x14ac:dyDescent="0.4">
      <c r="B49" s="26">
        <v>12</v>
      </c>
      <c r="C49" s="72" t="s">
        <v>78</v>
      </c>
      <c r="D49" s="73"/>
      <c r="E49" s="73"/>
      <c r="F49" s="73"/>
      <c r="G49" s="73"/>
      <c r="H49" s="73"/>
      <c r="I49" s="73"/>
      <c r="J49" s="73"/>
      <c r="K49" s="73"/>
      <c r="L49" s="73"/>
      <c r="M49" s="74"/>
      <c r="N49" s="31"/>
      <c r="O49" s="31"/>
    </row>
  </sheetData>
  <sheetProtection algorithmName="SHA-512" hashValue="e+KD00erBo3P34M4S+q+vLR0Zk9tF3zR3eWTl4OO4HDyIqL/CTTM0/fAju8zjtCDbND29bchgwpmtyGMdP+svw==" saltValue="Qrku5dxMH3XHmemS6gm2uw==" spinCount="100000" sheet="1" objects="1" scenarios="1"/>
  <mergeCells count="114">
    <mergeCell ref="N34:O34"/>
    <mergeCell ref="N35:O35"/>
    <mergeCell ref="C15:O15"/>
    <mergeCell ref="C17:O17"/>
    <mergeCell ref="C22:O22"/>
    <mergeCell ref="C30:O30"/>
    <mergeCell ref="C33:O33"/>
    <mergeCell ref="C27:O27"/>
    <mergeCell ref="N26:O26"/>
    <mergeCell ref="N28:O28"/>
    <mergeCell ref="N29:O29"/>
    <mergeCell ref="N31:O31"/>
    <mergeCell ref="N32:O32"/>
    <mergeCell ref="L31:M31"/>
    <mergeCell ref="L32:M32"/>
    <mergeCell ref="L34:M34"/>
    <mergeCell ref="L35:M35"/>
    <mergeCell ref="N23:O23"/>
    <mergeCell ref="N24:O24"/>
    <mergeCell ref="N25:O25"/>
    <mergeCell ref="L24:M24"/>
    <mergeCell ref="L25:M25"/>
    <mergeCell ref="L26:M26"/>
    <mergeCell ref="L28:M28"/>
    <mergeCell ref="N10:O10"/>
    <mergeCell ref="N12:O12"/>
    <mergeCell ref="N13:O13"/>
    <mergeCell ref="N14:O14"/>
    <mergeCell ref="N16:O16"/>
    <mergeCell ref="N18:O18"/>
    <mergeCell ref="N19:O19"/>
    <mergeCell ref="N20:O20"/>
    <mergeCell ref="N21:O21"/>
    <mergeCell ref="L29:M29"/>
    <mergeCell ref="L18:M18"/>
    <mergeCell ref="L19:M19"/>
    <mergeCell ref="L20:M20"/>
    <mergeCell ref="L21:M21"/>
    <mergeCell ref="L23:M23"/>
    <mergeCell ref="L10:M10"/>
    <mergeCell ref="L12:M12"/>
    <mergeCell ref="L13:M13"/>
    <mergeCell ref="L14:M14"/>
    <mergeCell ref="L16:M16"/>
    <mergeCell ref="C10:E11"/>
    <mergeCell ref="F10:G10"/>
    <mergeCell ref="H10:I10"/>
    <mergeCell ref="J10:K10"/>
    <mergeCell ref="F12:G12"/>
    <mergeCell ref="H12:I12"/>
    <mergeCell ref="J12:K12"/>
    <mergeCell ref="F18:G18"/>
    <mergeCell ref="H18:I18"/>
    <mergeCell ref="J18:K18"/>
    <mergeCell ref="F13:G13"/>
    <mergeCell ref="H13:I13"/>
    <mergeCell ref="J13:K13"/>
    <mergeCell ref="F14:G14"/>
    <mergeCell ref="H14:I14"/>
    <mergeCell ref="J14:K14"/>
    <mergeCell ref="F16:G16"/>
    <mergeCell ref="H16:I16"/>
    <mergeCell ref="J16:K16"/>
    <mergeCell ref="F19:G19"/>
    <mergeCell ref="H19:I19"/>
    <mergeCell ref="J19:K19"/>
    <mergeCell ref="F20:G20"/>
    <mergeCell ref="H20:I20"/>
    <mergeCell ref="J20:K20"/>
    <mergeCell ref="F21:G21"/>
    <mergeCell ref="H21:I21"/>
    <mergeCell ref="J21:K21"/>
    <mergeCell ref="F23:G23"/>
    <mergeCell ref="H23:I23"/>
    <mergeCell ref="J23:K23"/>
    <mergeCell ref="F24:G24"/>
    <mergeCell ref="H24:I24"/>
    <mergeCell ref="J24:K24"/>
    <mergeCell ref="F25:G25"/>
    <mergeCell ref="H25:I25"/>
    <mergeCell ref="J25:K25"/>
    <mergeCell ref="F26:G26"/>
    <mergeCell ref="H26:I26"/>
    <mergeCell ref="J26:K26"/>
    <mergeCell ref="F28:G28"/>
    <mergeCell ref="H28:I28"/>
    <mergeCell ref="J28:K28"/>
    <mergeCell ref="F29:G29"/>
    <mergeCell ref="H29:I29"/>
    <mergeCell ref="J29:K29"/>
    <mergeCell ref="F31:G31"/>
    <mergeCell ref="H31:I31"/>
    <mergeCell ref="J31:K31"/>
    <mergeCell ref="C40:M40"/>
    <mergeCell ref="F32:G32"/>
    <mergeCell ref="H32:I32"/>
    <mergeCell ref="J32:K32"/>
    <mergeCell ref="F34:G34"/>
    <mergeCell ref="H34:I34"/>
    <mergeCell ref="J34:K34"/>
    <mergeCell ref="F35:G35"/>
    <mergeCell ref="H35:I35"/>
    <mergeCell ref="J35:K35"/>
    <mergeCell ref="C38:M38"/>
    <mergeCell ref="C39:M39"/>
    <mergeCell ref="C47:M47"/>
    <mergeCell ref="C48:M48"/>
    <mergeCell ref="C49:M49"/>
    <mergeCell ref="C41:M41"/>
    <mergeCell ref="C42:M42"/>
    <mergeCell ref="C43:M43"/>
    <mergeCell ref="C44:M44"/>
    <mergeCell ref="C45:M45"/>
    <mergeCell ref="C46:M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6891C-CCEA-4FCF-8F32-736FC5E46825}">
  <dimension ref="B1:P49"/>
  <sheetViews>
    <sheetView zoomScale="90" zoomScaleNormal="90" workbookViewId="0">
      <selection activeCell="F12" sqref="F12:G12 F14:G14"/>
    </sheetView>
  </sheetViews>
  <sheetFormatPr defaultColWidth="8.81640625" defaultRowHeight="14.5" x14ac:dyDescent="0.35"/>
  <cols>
    <col min="1" max="1" width="8.81640625" style="4"/>
    <col min="2" max="2" width="5.453125" style="1" customWidth="1"/>
    <col min="3" max="3" width="56.1796875" style="2" customWidth="1"/>
    <col min="4" max="4" width="4.54296875" style="3" customWidth="1"/>
    <col min="5" max="5" width="17.81640625" style="2" customWidth="1"/>
    <col min="6" max="6" width="10.81640625" style="4" customWidth="1"/>
    <col min="7" max="7" width="8.26953125" style="4" customWidth="1"/>
    <col min="8" max="8" width="10.81640625" style="4" customWidth="1"/>
    <col min="9" max="9" width="10.1796875" style="4" customWidth="1"/>
    <col min="10" max="10" width="12" style="4" customWidth="1"/>
    <col min="11" max="11" width="10.453125" style="4" customWidth="1"/>
    <col min="12" max="12" width="12" style="4" customWidth="1"/>
    <col min="13" max="13" width="8.54296875" style="4" customWidth="1"/>
    <col min="14" max="14" width="12" style="4" customWidth="1"/>
    <col min="15" max="15" width="8.36328125" style="4" customWidth="1"/>
    <col min="16" max="16" width="9.54296875" style="4" bestFit="1" customWidth="1"/>
    <col min="17" max="16384" width="8.81640625" style="4"/>
  </cols>
  <sheetData>
    <row r="1" spans="3:15" ht="15" thickBot="1" x14ac:dyDescent="0.4">
      <c r="C1" s="60" t="s">
        <v>95</v>
      </c>
    </row>
    <row r="2" spans="3:15" x14ac:dyDescent="0.35">
      <c r="C2" s="5" t="s">
        <v>0</v>
      </c>
      <c r="D2" s="6"/>
      <c r="E2" s="7"/>
      <c r="F2" s="8"/>
      <c r="G2" s="8"/>
      <c r="H2" s="8"/>
      <c r="I2" s="8"/>
      <c r="J2" s="8"/>
      <c r="K2" s="8"/>
      <c r="L2" s="8"/>
      <c r="M2" s="8"/>
      <c r="N2" s="8"/>
      <c r="O2" s="9"/>
    </row>
    <row r="3" spans="3:15" x14ac:dyDescent="0.35">
      <c r="C3" s="10" t="s">
        <v>1</v>
      </c>
      <c r="D3" s="11" t="s">
        <v>2</v>
      </c>
      <c r="E3" s="61">
        <v>10000000</v>
      </c>
      <c r="F3" s="12"/>
      <c r="G3" s="12"/>
      <c r="H3" s="12"/>
      <c r="I3" s="12"/>
      <c r="J3" s="12"/>
      <c r="K3" s="12"/>
      <c r="L3" s="12"/>
      <c r="M3" s="12"/>
      <c r="N3" s="12"/>
      <c r="O3" s="13"/>
    </row>
    <row r="4" spans="3:15" x14ac:dyDescent="0.35">
      <c r="C4" s="10" t="s">
        <v>3</v>
      </c>
      <c r="D4" s="11" t="s">
        <v>4</v>
      </c>
      <c r="E4" s="62">
        <v>0.01</v>
      </c>
      <c r="F4" s="12"/>
      <c r="G4" s="12"/>
      <c r="H4" s="12"/>
      <c r="I4" s="12"/>
      <c r="J4" s="12"/>
      <c r="K4" s="12"/>
      <c r="L4" s="12"/>
      <c r="M4" s="12"/>
      <c r="N4" s="12"/>
      <c r="O4" s="13"/>
    </row>
    <row r="5" spans="3:15" x14ac:dyDescent="0.35">
      <c r="C5" s="10" t="s">
        <v>5</v>
      </c>
      <c r="D5" s="11" t="s">
        <v>6</v>
      </c>
      <c r="E5" s="62">
        <v>0</v>
      </c>
      <c r="F5" s="12"/>
      <c r="G5" s="12"/>
      <c r="H5" s="12"/>
      <c r="I5" s="12"/>
      <c r="J5" s="12"/>
      <c r="K5" s="12"/>
      <c r="L5" s="12"/>
      <c r="M5" s="12"/>
      <c r="N5" s="12"/>
      <c r="O5" s="13"/>
    </row>
    <row r="6" spans="3:15" x14ac:dyDescent="0.35">
      <c r="C6" s="10" t="s">
        <v>7</v>
      </c>
      <c r="D6" s="11" t="s">
        <v>8</v>
      </c>
      <c r="E6" s="62">
        <v>0.2</v>
      </c>
      <c r="F6" s="12"/>
      <c r="G6" s="12"/>
      <c r="H6" s="12"/>
      <c r="I6" s="12"/>
      <c r="J6" s="12"/>
      <c r="K6" s="12"/>
      <c r="L6" s="12"/>
      <c r="M6" s="12"/>
      <c r="N6" s="12"/>
      <c r="O6" s="13"/>
    </row>
    <row r="7" spans="3:15" x14ac:dyDescent="0.35">
      <c r="C7" s="10" t="s">
        <v>9</v>
      </c>
      <c r="D7" s="11" t="s">
        <v>10</v>
      </c>
      <c r="E7" s="62">
        <v>0.12</v>
      </c>
      <c r="F7" s="12"/>
      <c r="G7" s="12"/>
      <c r="H7" s="12"/>
      <c r="I7" s="12"/>
      <c r="J7" s="12"/>
      <c r="K7" s="12"/>
      <c r="L7" s="12"/>
      <c r="M7" s="12"/>
      <c r="N7" s="12"/>
      <c r="O7" s="13"/>
    </row>
    <row r="8" spans="3:15" x14ac:dyDescent="0.35">
      <c r="C8" s="10" t="s">
        <v>11</v>
      </c>
      <c r="D8" s="11" t="s">
        <v>12</v>
      </c>
      <c r="E8" s="62">
        <v>2.0999999999999999E-3</v>
      </c>
      <c r="F8" s="12"/>
      <c r="G8" s="12"/>
      <c r="H8" s="12"/>
      <c r="I8" s="12"/>
      <c r="J8" s="12"/>
      <c r="K8" s="12"/>
      <c r="L8" s="12"/>
      <c r="M8" s="12"/>
      <c r="N8" s="12"/>
      <c r="O8" s="13"/>
    </row>
    <row r="9" spans="3:15" ht="15" thickBot="1" x14ac:dyDescent="0.4">
      <c r="C9" s="38"/>
      <c r="D9" s="24"/>
      <c r="E9" s="25"/>
      <c r="F9" s="15"/>
      <c r="G9" s="16"/>
      <c r="H9" s="16"/>
      <c r="I9" s="16"/>
      <c r="J9" s="16"/>
      <c r="K9" s="16"/>
      <c r="L9" s="16"/>
      <c r="M9" s="16"/>
      <c r="N9" s="16"/>
      <c r="O9" s="27"/>
    </row>
    <row r="10" spans="3:15" x14ac:dyDescent="0.35">
      <c r="C10" s="92" t="s">
        <v>13</v>
      </c>
      <c r="D10" s="93"/>
      <c r="E10" s="93"/>
      <c r="F10" s="89" t="s">
        <v>90</v>
      </c>
      <c r="G10" s="89"/>
      <c r="H10" s="89" t="s">
        <v>91</v>
      </c>
      <c r="I10" s="89"/>
      <c r="J10" s="89" t="s">
        <v>92</v>
      </c>
      <c r="K10" s="89"/>
      <c r="L10" s="89" t="s">
        <v>93</v>
      </c>
      <c r="M10" s="89"/>
      <c r="N10" s="89" t="s">
        <v>93</v>
      </c>
      <c r="O10" s="96"/>
    </row>
    <row r="11" spans="3:15" x14ac:dyDescent="0.35">
      <c r="C11" s="103"/>
      <c r="D11" s="104"/>
      <c r="E11" s="104"/>
      <c r="F11" s="17" t="str">
        <f>IF(G11&gt;=0,"Gain of","Loss of")</f>
        <v>Gain of</v>
      </c>
      <c r="G11" s="63">
        <v>0.25</v>
      </c>
      <c r="H11" s="17" t="str">
        <f>IF(I11&gt;=0,"Gain of","Loss of")</f>
        <v>Loss of</v>
      </c>
      <c r="I11" s="63">
        <v>-0.1</v>
      </c>
      <c r="J11" s="17" t="str">
        <f>IF(K11&gt;=0,"Gain of","Loss of")</f>
        <v>Gain of</v>
      </c>
      <c r="K11" s="63">
        <v>0.21</v>
      </c>
      <c r="L11" s="17" t="str">
        <f>IF(M11&gt;=0,"Gain of","Loss of")</f>
        <v>Gain of</v>
      </c>
      <c r="M11" s="63">
        <v>0.2</v>
      </c>
      <c r="N11" s="17" t="str">
        <f>IF(O11&gt;=0,"Gain of","Loss of")</f>
        <v>Loss of</v>
      </c>
      <c r="O11" s="64">
        <v>-0.1</v>
      </c>
    </row>
    <row r="12" spans="3:15" x14ac:dyDescent="0.35">
      <c r="C12" s="10" t="s">
        <v>14</v>
      </c>
      <c r="D12" s="11" t="s">
        <v>15</v>
      </c>
      <c r="E12" s="18" t="s">
        <v>16</v>
      </c>
      <c r="F12" s="91">
        <f>+$E$3</f>
        <v>10000000</v>
      </c>
      <c r="G12" s="91"/>
      <c r="H12" s="91">
        <f>F31</f>
        <v>12131289</v>
      </c>
      <c r="I12" s="91"/>
      <c r="J12" s="91">
        <f>H31</f>
        <v>10778952.95216055</v>
      </c>
      <c r="K12" s="91"/>
      <c r="L12" s="91">
        <f>J31</f>
        <v>12898663.20727066</v>
      </c>
      <c r="M12" s="91"/>
      <c r="N12" s="91">
        <f>L31</f>
        <v>15167137.488598481</v>
      </c>
      <c r="O12" s="98"/>
    </row>
    <row r="13" spans="3:15" x14ac:dyDescent="0.35">
      <c r="C13" s="10" t="s">
        <v>17</v>
      </c>
      <c r="D13" s="11" t="s">
        <v>18</v>
      </c>
      <c r="E13" s="18" t="s">
        <v>19</v>
      </c>
      <c r="F13" s="79">
        <f>F12*G11</f>
        <v>2500000</v>
      </c>
      <c r="G13" s="79"/>
      <c r="H13" s="79">
        <f>H12*I11</f>
        <v>-1213128.9000000001</v>
      </c>
      <c r="I13" s="79"/>
      <c r="J13" s="108">
        <f>J12*K11</f>
        <v>2263580.1199537152</v>
      </c>
      <c r="K13" s="108"/>
      <c r="L13" s="108">
        <f>L12*M11</f>
        <v>2579732.6414541323</v>
      </c>
      <c r="M13" s="108"/>
      <c r="N13" s="108">
        <f>N12*O11</f>
        <v>-1516713.7488598481</v>
      </c>
      <c r="O13" s="110"/>
    </row>
    <row r="14" spans="3:15" x14ac:dyDescent="0.35">
      <c r="C14" s="10" t="s">
        <v>20</v>
      </c>
      <c r="D14" s="11" t="s">
        <v>21</v>
      </c>
      <c r="E14" s="18" t="s">
        <v>22</v>
      </c>
      <c r="F14" s="79">
        <f>F12+F13</f>
        <v>12500000</v>
      </c>
      <c r="G14" s="79"/>
      <c r="H14" s="79">
        <f>H12+H13</f>
        <v>10918160.1</v>
      </c>
      <c r="I14" s="79"/>
      <c r="J14" s="79">
        <f>J12+J13</f>
        <v>13042533.072114266</v>
      </c>
      <c r="K14" s="79"/>
      <c r="L14" s="79">
        <f>L12+L13</f>
        <v>15478395.848724792</v>
      </c>
      <c r="M14" s="79"/>
      <c r="N14" s="79">
        <f>N12+N13</f>
        <v>13650423.739738632</v>
      </c>
      <c r="O14" s="81"/>
    </row>
    <row r="15" spans="3:15" x14ac:dyDescent="0.35">
      <c r="C15" s="83"/>
      <c r="D15" s="84"/>
      <c r="E15" s="84"/>
      <c r="F15" s="84"/>
      <c r="G15" s="84"/>
      <c r="H15" s="84"/>
      <c r="I15" s="84"/>
      <c r="J15" s="84"/>
      <c r="K15" s="84"/>
      <c r="L15" s="84"/>
      <c r="M15" s="84"/>
      <c r="N15" s="84"/>
      <c r="O15" s="85"/>
    </row>
    <row r="16" spans="3:15" x14ac:dyDescent="0.35">
      <c r="C16" s="10" t="s">
        <v>23</v>
      </c>
      <c r="D16" s="11" t="s">
        <v>24</v>
      </c>
      <c r="E16" s="18" t="s">
        <v>25</v>
      </c>
      <c r="F16" s="109">
        <f>(F12+F14)/2</f>
        <v>11250000</v>
      </c>
      <c r="G16" s="109"/>
      <c r="H16" s="109">
        <f>(H12+H14)/2</f>
        <v>11524724.550000001</v>
      </c>
      <c r="I16" s="109"/>
      <c r="J16" s="109">
        <f>(J12+J14)/2</f>
        <v>11910743.012137409</v>
      </c>
      <c r="K16" s="109"/>
      <c r="L16" s="109">
        <f>(L12+L14)/2</f>
        <v>14188529.527997725</v>
      </c>
      <c r="M16" s="109"/>
      <c r="N16" s="109">
        <f>(N12+N14)/2</f>
        <v>14408780.614168556</v>
      </c>
      <c r="O16" s="111"/>
    </row>
    <row r="17" spans="3:16" x14ac:dyDescent="0.35">
      <c r="C17" s="83"/>
      <c r="D17" s="84"/>
      <c r="E17" s="84"/>
      <c r="F17" s="84"/>
      <c r="G17" s="84"/>
      <c r="H17" s="84"/>
      <c r="I17" s="84"/>
      <c r="J17" s="84"/>
      <c r="K17" s="84"/>
      <c r="L17" s="84"/>
      <c r="M17" s="84"/>
      <c r="N17" s="84"/>
      <c r="O17" s="85"/>
      <c r="P17" s="19"/>
    </row>
    <row r="18" spans="3:16" x14ac:dyDescent="0.35">
      <c r="C18" s="10" t="s">
        <v>26</v>
      </c>
      <c r="D18" s="11" t="s">
        <v>27</v>
      </c>
      <c r="E18" s="18" t="s">
        <v>28</v>
      </c>
      <c r="F18" s="79">
        <f>+F16*-$E$5</f>
        <v>0</v>
      </c>
      <c r="G18" s="79"/>
      <c r="H18" s="79">
        <f>+H16*-$E$5</f>
        <v>0</v>
      </c>
      <c r="I18" s="79"/>
      <c r="J18" s="79">
        <f>+J16*-$E$5</f>
        <v>0</v>
      </c>
      <c r="K18" s="79"/>
      <c r="L18" s="79">
        <f>+L16*-$E$5</f>
        <v>0</v>
      </c>
      <c r="M18" s="79"/>
      <c r="N18" s="79">
        <f>+N16*-$E$5</f>
        <v>0</v>
      </c>
      <c r="O18" s="81"/>
    </row>
    <row r="19" spans="3:16" x14ac:dyDescent="0.35">
      <c r="C19" s="10" t="s">
        <v>11</v>
      </c>
      <c r="D19" s="11" t="s">
        <v>29</v>
      </c>
      <c r="E19" s="18" t="s">
        <v>30</v>
      </c>
      <c r="F19" s="79">
        <f>+F16*-$E$8</f>
        <v>-23625</v>
      </c>
      <c r="G19" s="79"/>
      <c r="H19" s="79">
        <f>+H16*-$E$8</f>
        <v>-24201.921555000001</v>
      </c>
      <c r="I19" s="79"/>
      <c r="J19" s="79">
        <f>+J16*-$E$8</f>
        <v>-25012.560325488557</v>
      </c>
      <c r="K19" s="79"/>
      <c r="L19" s="79">
        <f>+L16*-$E$8</f>
        <v>-29795.912008795221</v>
      </c>
      <c r="M19" s="79"/>
      <c r="N19" s="79">
        <f>+N16*-$E$8</f>
        <v>-30258.439289753966</v>
      </c>
      <c r="O19" s="81"/>
    </row>
    <row r="20" spans="3:16" x14ac:dyDescent="0.35">
      <c r="C20" s="10" t="s">
        <v>31</v>
      </c>
      <c r="D20" s="11" t="s">
        <v>32</v>
      </c>
      <c r="E20" s="14" t="s">
        <v>33</v>
      </c>
      <c r="F20" s="79">
        <f>+(F16+F18+F19)*-$E$4</f>
        <v>-112263.75</v>
      </c>
      <c r="G20" s="79"/>
      <c r="H20" s="79">
        <f>+(H16+H18+H19)*-$E$4</f>
        <v>-115005.22628445002</v>
      </c>
      <c r="I20" s="79"/>
      <c r="J20" s="79">
        <f>+(J16+J18+J19)*-$E$4</f>
        <v>-118857.30451811921</v>
      </c>
      <c r="K20" s="79"/>
      <c r="L20" s="79">
        <f>+(L16+L18+L19)*-$E$4</f>
        <v>-141587.3361598893</v>
      </c>
      <c r="M20" s="79"/>
      <c r="N20" s="79">
        <f>+(N16+N18+N19)*-$E$4</f>
        <v>-143785.22174878803</v>
      </c>
      <c r="O20" s="81"/>
    </row>
    <row r="21" spans="3:16" x14ac:dyDescent="0.35">
      <c r="C21" s="10" t="s">
        <v>34</v>
      </c>
      <c r="D21" s="11" t="s">
        <v>35</v>
      </c>
      <c r="E21" s="14" t="s">
        <v>36</v>
      </c>
      <c r="F21" s="79">
        <f>+F18+F20+F19</f>
        <v>-135888.75</v>
      </c>
      <c r="G21" s="79"/>
      <c r="H21" s="79">
        <f>+H18+H20+H19</f>
        <v>-139207.14783945002</v>
      </c>
      <c r="I21" s="79"/>
      <c r="J21" s="79">
        <f>+J18+J20+J19</f>
        <v>-143869.86484360776</v>
      </c>
      <c r="K21" s="79"/>
      <c r="L21" s="79">
        <f>+L18+L20+L19</f>
        <v>-171383.24816868451</v>
      </c>
      <c r="M21" s="79"/>
      <c r="N21" s="79">
        <f>+N18+N20+N19</f>
        <v>-174043.66103854199</v>
      </c>
      <c r="O21" s="81"/>
    </row>
    <row r="22" spans="3:16" x14ac:dyDescent="0.35">
      <c r="C22" s="83"/>
      <c r="D22" s="84"/>
      <c r="E22" s="84"/>
      <c r="F22" s="84"/>
      <c r="G22" s="84"/>
      <c r="H22" s="84"/>
      <c r="I22" s="84"/>
      <c r="J22" s="84"/>
      <c r="K22" s="84"/>
      <c r="L22" s="84"/>
      <c r="M22" s="84"/>
      <c r="N22" s="84"/>
      <c r="O22" s="85"/>
    </row>
    <row r="23" spans="3:16" x14ac:dyDescent="0.35">
      <c r="C23" s="10" t="s">
        <v>37</v>
      </c>
      <c r="D23" s="11" t="s">
        <v>38</v>
      </c>
      <c r="E23" s="14" t="s">
        <v>39</v>
      </c>
      <c r="F23" s="79">
        <f>F14+F21</f>
        <v>12364111.25</v>
      </c>
      <c r="G23" s="79"/>
      <c r="H23" s="79">
        <f>H14+H21</f>
        <v>10778952.95216055</v>
      </c>
      <c r="I23" s="79"/>
      <c r="J23" s="79">
        <f>J14+J21</f>
        <v>12898663.20727066</v>
      </c>
      <c r="K23" s="79"/>
      <c r="L23" s="79">
        <f>L14+L21</f>
        <v>15307012.600556107</v>
      </c>
      <c r="M23" s="79"/>
      <c r="N23" s="79">
        <f>N14+N21</f>
        <v>13476380.07870009</v>
      </c>
      <c r="O23" s="81"/>
    </row>
    <row r="24" spans="3:16" ht="29" x14ac:dyDescent="0.35">
      <c r="C24" s="10" t="s">
        <v>40</v>
      </c>
      <c r="D24" s="11" t="s">
        <v>41</v>
      </c>
      <c r="E24" s="14"/>
      <c r="F24" s="79">
        <f>F12</f>
        <v>10000000</v>
      </c>
      <c r="G24" s="79"/>
      <c r="H24" s="79">
        <f>MAX(F14,F12)</f>
        <v>12500000</v>
      </c>
      <c r="I24" s="79"/>
      <c r="J24" s="79">
        <f>MAX(H14,H12,F14)</f>
        <v>12500000</v>
      </c>
      <c r="K24" s="79"/>
      <c r="L24" s="79">
        <f>MAX(J14,J12,H14,H12,F14)</f>
        <v>13042533.072114266</v>
      </c>
      <c r="M24" s="79"/>
      <c r="N24" s="79">
        <f>MAX(L14,L12,J14,J12,H14,H12,F14)</f>
        <v>15478395.848724792</v>
      </c>
      <c r="O24" s="81"/>
    </row>
    <row r="25" spans="3:16" x14ac:dyDescent="0.35">
      <c r="C25" s="20" t="s">
        <v>42</v>
      </c>
      <c r="D25" s="11" t="s">
        <v>43</v>
      </c>
      <c r="E25" s="21" t="s">
        <v>44</v>
      </c>
      <c r="F25" s="79">
        <f>(F24*$E$7)</f>
        <v>1200000</v>
      </c>
      <c r="G25" s="79"/>
      <c r="H25" s="79">
        <f>(H24*$E$7)</f>
        <v>1500000</v>
      </c>
      <c r="I25" s="79"/>
      <c r="J25" s="79">
        <f>(J24*$E$7)</f>
        <v>1500000</v>
      </c>
      <c r="K25" s="79"/>
      <c r="L25" s="79">
        <f>(L24*$E$7)</f>
        <v>1565103.968653712</v>
      </c>
      <c r="M25" s="79"/>
      <c r="N25" s="79">
        <f>(N24*$E$7)</f>
        <v>1857407.5018469749</v>
      </c>
      <c r="O25" s="81"/>
    </row>
    <row r="26" spans="3:16" ht="29" x14ac:dyDescent="0.35">
      <c r="C26" s="10" t="s">
        <v>45</v>
      </c>
      <c r="D26" s="11" t="s">
        <v>46</v>
      </c>
      <c r="E26" s="14" t="s">
        <v>47</v>
      </c>
      <c r="F26" s="79" t="str">
        <f>IF(F23&gt;(F24+F25),("Yes"),("No Pfee"))</f>
        <v>Yes</v>
      </c>
      <c r="G26" s="79"/>
      <c r="H26" s="79" t="str">
        <f>IF(H23&gt;(H24+H25),("Yes"),("No Pfee"))</f>
        <v>No Pfee</v>
      </c>
      <c r="I26" s="79"/>
      <c r="J26" s="79" t="str">
        <f>IF(J23&gt;(J24+J25),("Yes"),("No Pfee"))</f>
        <v>No Pfee</v>
      </c>
      <c r="K26" s="79"/>
      <c r="L26" s="79" t="str">
        <f>IF(L23&gt;(L24+L25),("Yes"),("No Pfee"))</f>
        <v>Yes</v>
      </c>
      <c r="M26" s="79"/>
      <c r="N26" s="79" t="str">
        <f>IF(N23&gt;(N24+N25),("Yes"),("No Pfee"))</f>
        <v>No Pfee</v>
      </c>
      <c r="O26" s="81"/>
    </row>
    <row r="27" spans="3:16" ht="15" customHeight="1" x14ac:dyDescent="0.35">
      <c r="C27" s="112" t="s">
        <v>48</v>
      </c>
      <c r="D27" s="113"/>
      <c r="E27" s="113"/>
      <c r="F27" s="113"/>
      <c r="G27" s="113"/>
      <c r="H27" s="113"/>
      <c r="I27" s="113"/>
      <c r="J27" s="113"/>
      <c r="K27" s="113"/>
      <c r="L27" s="113"/>
      <c r="M27" s="113"/>
      <c r="N27" s="113"/>
      <c r="O27" s="114"/>
    </row>
    <row r="28" spans="3:16" x14ac:dyDescent="0.35">
      <c r="C28" s="10" t="s">
        <v>49</v>
      </c>
      <c r="D28" s="11" t="s">
        <v>50</v>
      </c>
      <c r="E28" s="14" t="s">
        <v>51</v>
      </c>
      <c r="F28" s="79">
        <f>+IF(F26="Yes",(F23-F24-F25),(0))</f>
        <v>1164111.25</v>
      </c>
      <c r="G28" s="79"/>
      <c r="H28" s="79">
        <f>+IF(H26="Yes",(H23-H24-H25),(0))</f>
        <v>0</v>
      </c>
      <c r="I28" s="79"/>
      <c r="J28" s="79">
        <f>+IF(J26="Yes",(J23-J24-J25),(0))</f>
        <v>0</v>
      </c>
      <c r="K28" s="79"/>
      <c r="L28" s="79">
        <f>+IF(L26="Yes",(L23-L24-L25),(0))</f>
        <v>699375.55978812883</v>
      </c>
      <c r="M28" s="79"/>
      <c r="N28" s="79">
        <f>+IF(N26="Yes",(N23-N24-N25),(0))</f>
        <v>0</v>
      </c>
      <c r="O28" s="81"/>
    </row>
    <row r="29" spans="3:16" x14ac:dyDescent="0.35">
      <c r="C29" s="20" t="s">
        <v>52</v>
      </c>
      <c r="D29" s="11" t="s">
        <v>53</v>
      </c>
      <c r="E29" s="21" t="s">
        <v>54</v>
      </c>
      <c r="F29" s="79">
        <f>+F28*-$E$6</f>
        <v>-232822.25</v>
      </c>
      <c r="G29" s="79"/>
      <c r="H29" s="79">
        <f>+H28*-$E$6</f>
        <v>0</v>
      </c>
      <c r="I29" s="79"/>
      <c r="J29" s="79">
        <f>+J28*-$E$6</f>
        <v>0</v>
      </c>
      <c r="K29" s="79"/>
      <c r="L29" s="79">
        <f>+L28*-$E$6</f>
        <v>-139875.11195762578</v>
      </c>
      <c r="M29" s="79"/>
      <c r="N29" s="79">
        <f>+N28*-$E$6</f>
        <v>0</v>
      </c>
      <c r="O29" s="81"/>
    </row>
    <row r="30" spans="3:16" x14ac:dyDescent="0.35">
      <c r="C30" s="83"/>
      <c r="D30" s="84"/>
      <c r="E30" s="84"/>
      <c r="F30" s="84"/>
      <c r="G30" s="84"/>
      <c r="H30" s="84"/>
      <c r="I30" s="84"/>
      <c r="J30" s="84"/>
      <c r="K30" s="84"/>
      <c r="L30" s="84"/>
      <c r="M30" s="84"/>
      <c r="N30" s="84"/>
      <c r="O30" s="85"/>
    </row>
    <row r="31" spans="3:16" ht="29" x14ac:dyDescent="0.35">
      <c r="C31" s="10" t="s">
        <v>55</v>
      </c>
      <c r="D31" s="11" t="s">
        <v>56</v>
      </c>
      <c r="E31" s="14" t="s">
        <v>57</v>
      </c>
      <c r="F31" s="79">
        <f>+F23+F29</f>
        <v>12131289</v>
      </c>
      <c r="G31" s="79"/>
      <c r="H31" s="79">
        <f>+H23+H29</f>
        <v>10778952.95216055</v>
      </c>
      <c r="I31" s="79"/>
      <c r="J31" s="79">
        <f>+J23+J29</f>
        <v>12898663.20727066</v>
      </c>
      <c r="K31" s="79"/>
      <c r="L31" s="79">
        <f>+L23+L29</f>
        <v>15167137.488598481</v>
      </c>
      <c r="M31" s="79"/>
      <c r="N31" s="79">
        <f>+N23+N29</f>
        <v>13476380.07870009</v>
      </c>
      <c r="O31" s="81"/>
    </row>
    <row r="32" spans="3:16" x14ac:dyDescent="0.35">
      <c r="C32" s="10" t="s">
        <v>58</v>
      </c>
      <c r="D32" s="11" t="s">
        <v>59</v>
      </c>
      <c r="E32" s="14" t="s">
        <v>60</v>
      </c>
      <c r="F32" s="78">
        <f>+F31/F12-1</f>
        <v>0.21312890000000007</v>
      </c>
      <c r="G32" s="78"/>
      <c r="H32" s="78">
        <f>+H31/H12-1</f>
        <v>-0.11147505000000002</v>
      </c>
      <c r="I32" s="78"/>
      <c r="J32" s="78">
        <f>+J31/J12-1</f>
        <v>0.19665270500000021</v>
      </c>
      <c r="K32" s="78"/>
      <c r="L32" s="78">
        <f>+L31/L12-1</f>
        <v>0.17586894431425559</v>
      </c>
      <c r="M32" s="78"/>
      <c r="N32" s="78">
        <f>+N31/N12-1</f>
        <v>-0.11147505000000002</v>
      </c>
      <c r="O32" s="99"/>
    </row>
    <row r="33" spans="2:15" x14ac:dyDescent="0.35">
      <c r="C33" s="83"/>
      <c r="D33" s="84"/>
      <c r="E33" s="84"/>
      <c r="F33" s="84"/>
      <c r="G33" s="84"/>
      <c r="H33" s="84"/>
      <c r="I33" s="84"/>
      <c r="J33" s="84"/>
      <c r="K33" s="84"/>
      <c r="L33" s="84"/>
      <c r="M33" s="84"/>
      <c r="N33" s="84"/>
      <c r="O33" s="85"/>
    </row>
    <row r="34" spans="2:15" ht="29" x14ac:dyDescent="0.35">
      <c r="C34" s="10" t="s">
        <v>61</v>
      </c>
      <c r="D34" s="11" t="s">
        <v>62</v>
      </c>
      <c r="E34" s="14" t="s">
        <v>63</v>
      </c>
      <c r="F34" s="79">
        <f>+MAX(F24,F31)</f>
        <v>12131289</v>
      </c>
      <c r="G34" s="79"/>
      <c r="H34" s="79">
        <f>+MAX(H24,H31)</f>
        <v>12500000</v>
      </c>
      <c r="I34" s="79"/>
      <c r="J34" s="79">
        <f>+MAX(J24,J31)</f>
        <v>12898663.20727066</v>
      </c>
      <c r="K34" s="79"/>
      <c r="L34" s="79">
        <f>+MAX(L24,L31)</f>
        <v>15167137.488598481</v>
      </c>
      <c r="M34" s="79"/>
      <c r="N34" s="79">
        <f>+MAX(N24,N31)</f>
        <v>15478395.848724792</v>
      </c>
      <c r="O34" s="81"/>
    </row>
    <row r="35" spans="2:15" ht="29" x14ac:dyDescent="0.35">
      <c r="C35" s="10" t="s">
        <v>64</v>
      </c>
      <c r="D35" s="11" t="s">
        <v>62</v>
      </c>
      <c r="E35" s="14" t="s">
        <v>65</v>
      </c>
      <c r="F35" s="79">
        <f>+MAX(F23,F24)</f>
        <v>12364111.25</v>
      </c>
      <c r="G35" s="79"/>
      <c r="H35" s="79">
        <f>+MAX(H23,H24)</f>
        <v>12500000</v>
      </c>
      <c r="I35" s="79"/>
      <c r="J35" s="79">
        <f>+MAX(J23,J24)</f>
        <v>12898663.20727066</v>
      </c>
      <c r="K35" s="79"/>
      <c r="L35" s="79">
        <f>+MAX(L23,L24)</f>
        <v>15307012.600556107</v>
      </c>
      <c r="M35" s="79"/>
      <c r="N35" s="79">
        <f>+MAX(N23,N24)</f>
        <v>15478395.848724792</v>
      </c>
      <c r="O35" s="81"/>
    </row>
    <row r="36" spans="2:15" ht="15" thickBot="1" x14ac:dyDescent="0.4">
      <c r="C36" s="105"/>
      <c r="D36" s="106"/>
      <c r="E36" s="106"/>
      <c r="F36" s="106"/>
      <c r="G36" s="106"/>
      <c r="H36" s="106"/>
      <c r="I36" s="106"/>
      <c r="J36" s="106"/>
      <c r="K36" s="106"/>
      <c r="L36" s="106"/>
      <c r="M36" s="106"/>
      <c r="N36" s="106"/>
      <c r="O36" s="107"/>
    </row>
    <row r="37" spans="2:15" ht="15" thickBot="1" x14ac:dyDescent="0.4">
      <c r="B37" s="22"/>
      <c r="C37" s="37" t="s">
        <v>66</v>
      </c>
      <c r="D37"/>
      <c r="E37"/>
      <c r="F37"/>
      <c r="G37"/>
      <c r="H37"/>
      <c r="I37"/>
      <c r="J37"/>
      <c r="K37"/>
      <c r="L37"/>
      <c r="M37"/>
      <c r="N37"/>
      <c r="O37"/>
    </row>
    <row r="38" spans="2:15" ht="15" thickBot="1" x14ac:dyDescent="0.4">
      <c r="B38" s="26">
        <v>1</v>
      </c>
      <c r="C38" s="75" t="s">
        <v>67</v>
      </c>
      <c r="D38" s="76"/>
      <c r="E38" s="76"/>
      <c r="F38" s="76"/>
      <c r="G38" s="76"/>
      <c r="H38" s="76"/>
      <c r="I38" s="76"/>
      <c r="J38" s="76"/>
      <c r="K38" s="76"/>
      <c r="L38" s="76"/>
      <c r="M38" s="77"/>
    </row>
    <row r="39" spans="2:15" ht="15" thickBot="1" x14ac:dyDescent="0.4">
      <c r="B39" s="26">
        <f t="shared" ref="B39:B49" si="0">+B38+1</f>
        <v>2</v>
      </c>
      <c r="C39" s="75" t="s">
        <v>68</v>
      </c>
      <c r="D39" s="76"/>
      <c r="E39" s="76"/>
      <c r="F39" s="76"/>
      <c r="G39" s="76"/>
      <c r="H39" s="76"/>
      <c r="I39" s="76"/>
      <c r="J39" s="76"/>
      <c r="K39" s="76"/>
      <c r="L39" s="76"/>
      <c r="M39" s="77"/>
    </row>
    <row r="40" spans="2:15" ht="15" thickBot="1" x14ac:dyDescent="0.4">
      <c r="B40" s="26">
        <f t="shared" si="0"/>
        <v>3</v>
      </c>
      <c r="C40" s="75" t="s">
        <v>69</v>
      </c>
      <c r="D40" s="76"/>
      <c r="E40" s="76"/>
      <c r="F40" s="76"/>
      <c r="G40" s="76"/>
      <c r="H40" s="76"/>
      <c r="I40" s="76"/>
      <c r="J40" s="76"/>
      <c r="K40" s="76"/>
      <c r="L40" s="76"/>
      <c r="M40" s="77"/>
    </row>
    <row r="41" spans="2:15" ht="15" thickBot="1" x14ac:dyDescent="0.4">
      <c r="B41" s="26">
        <f t="shared" si="0"/>
        <v>4</v>
      </c>
      <c r="C41" s="75" t="s">
        <v>70</v>
      </c>
      <c r="D41" s="76"/>
      <c r="E41" s="76"/>
      <c r="F41" s="76"/>
      <c r="G41" s="76"/>
      <c r="H41" s="76"/>
      <c r="I41" s="76"/>
      <c r="J41" s="76"/>
      <c r="K41" s="76"/>
      <c r="L41" s="76"/>
      <c r="M41" s="77"/>
    </row>
    <row r="42" spans="2:15" ht="15" thickBot="1" x14ac:dyDescent="0.4">
      <c r="B42" s="26">
        <f t="shared" si="0"/>
        <v>5</v>
      </c>
      <c r="C42" s="75" t="s">
        <v>71</v>
      </c>
      <c r="D42" s="76"/>
      <c r="E42" s="76"/>
      <c r="F42" s="76"/>
      <c r="G42" s="76"/>
      <c r="H42" s="76"/>
      <c r="I42" s="76"/>
      <c r="J42" s="76"/>
      <c r="K42" s="76"/>
      <c r="L42" s="76"/>
      <c r="M42" s="77"/>
    </row>
    <row r="43" spans="2:15" ht="15" thickBot="1" x14ac:dyDescent="0.4">
      <c r="B43" s="26">
        <f t="shared" si="0"/>
        <v>6</v>
      </c>
      <c r="C43" s="75" t="s">
        <v>72</v>
      </c>
      <c r="D43" s="76"/>
      <c r="E43" s="76"/>
      <c r="F43" s="76"/>
      <c r="G43" s="76"/>
      <c r="H43" s="76"/>
      <c r="I43" s="76"/>
      <c r="J43" s="76"/>
      <c r="K43" s="76"/>
      <c r="L43" s="76"/>
      <c r="M43" s="77"/>
    </row>
    <row r="44" spans="2:15" ht="15" thickBot="1" x14ac:dyDescent="0.4">
      <c r="B44" s="26">
        <f t="shared" si="0"/>
        <v>7</v>
      </c>
      <c r="C44" s="75" t="s">
        <v>73</v>
      </c>
      <c r="D44" s="76"/>
      <c r="E44" s="76"/>
      <c r="F44" s="76"/>
      <c r="G44" s="76"/>
      <c r="H44" s="76"/>
      <c r="I44" s="76"/>
      <c r="J44" s="76"/>
      <c r="K44" s="76"/>
      <c r="L44" s="76"/>
      <c r="M44" s="77"/>
    </row>
    <row r="45" spans="2:15" ht="15" thickBot="1" x14ac:dyDescent="0.4">
      <c r="B45" s="26">
        <f t="shared" si="0"/>
        <v>8</v>
      </c>
      <c r="C45" s="75" t="s">
        <v>74</v>
      </c>
      <c r="D45" s="76"/>
      <c r="E45" s="76"/>
      <c r="F45" s="76"/>
      <c r="G45" s="76"/>
      <c r="H45" s="76"/>
      <c r="I45" s="76"/>
      <c r="J45" s="76"/>
      <c r="K45" s="76"/>
      <c r="L45" s="76"/>
      <c r="M45" s="77"/>
    </row>
    <row r="46" spans="2:15" ht="15" thickBot="1" x14ac:dyDescent="0.4">
      <c r="B46" s="26">
        <f t="shared" si="0"/>
        <v>9</v>
      </c>
      <c r="C46" s="72" t="s">
        <v>75</v>
      </c>
      <c r="D46" s="73"/>
      <c r="E46" s="73"/>
      <c r="F46" s="73"/>
      <c r="G46" s="73"/>
      <c r="H46" s="73"/>
      <c r="I46" s="73"/>
      <c r="J46" s="73"/>
      <c r="K46" s="73"/>
      <c r="L46" s="73"/>
      <c r="M46" s="74"/>
    </row>
    <row r="47" spans="2:15" ht="15" thickBot="1" x14ac:dyDescent="0.4">
      <c r="B47" s="26">
        <f t="shared" si="0"/>
        <v>10</v>
      </c>
      <c r="C47" s="72" t="s">
        <v>76</v>
      </c>
      <c r="D47" s="73"/>
      <c r="E47" s="73"/>
      <c r="F47" s="73"/>
      <c r="G47" s="73"/>
      <c r="H47" s="73"/>
      <c r="I47" s="73"/>
      <c r="J47" s="73"/>
      <c r="K47" s="73"/>
      <c r="L47" s="73"/>
      <c r="M47" s="74"/>
    </row>
    <row r="48" spans="2:15" ht="15" thickBot="1" x14ac:dyDescent="0.4">
      <c r="B48" s="26">
        <f t="shared" si="0"/>
        <v>11</v>
      </c>
      <c r="C48" s="72" t="s">
        <v>77</v>
      </c>
      <c r="D48" s="73"/>
      <c r="E48" s="73"/>
      <c r="F48" s="73"/>
      <c r="G48" s="73"/>
      <c r="H48" s="73"/>
      <c r="I48" s="73"/>
      <c r="J48" s="73"/>
      <c r="K48" s="73"/>
      <c r="L48" s="73"/>
      <c r="M48" s="74"/>
    </row>
    <row r="49" spans="2:13" ht="15" thickBot="1" x14ac:dyDescent="0.4">
      <c r="B49" s="26">
        <f t="shared" si="0"/>
        <v>12</v>
      </c>
      <c r="C49" s="72" t="s">
        <v>78</v>
      </c>
      <c r="D49" s="73"/>
      <c r="E49" s="73"/>
      <c r="F49" s="73"/>
      <c r="G49" s="73"/>
      <c r="H49" s="73"/>
      <c r="I49" s="73"/>
      <c r="J49" s="73"/>
      <c r="K49" s="73"/>
      <c r="L49" s="73"/>
      <c r="M49" s="74"/>
    </row>
  </sheetData>
  <sheetProtection algorithmName="SHA-512" hashValue="7m4voSQpbxyfgvnRUBg+yiC99mTZGqVaAGjkXpdEjgQtU5TMjCLf/M20/8LxgMozoHjjbs6i2gV4iDmfL/8dNA==" saltValue="nUDP82dA8U8A9Q7OWDZIhQ==" spinCount="100000" sheet="1" objects="1" scenarios="1"/>
  <mergeCells count="115">
    <mergeCell ref="C30:O30"/>
    <mergeCell ref="C33:O33"/>
    <mergeCell ref="C27:O27"/>
    <mergeCell ref="N26:O26"/>
    <mergeCell ref="N28:O28"/>
    <mergeCell ref="N29:O29"/>
    <mergeCell ref="N31:O31"/>
    <mergeCell ref="N32:O32"/>
    <mergeCell ref="L31:M31"/>
    <mergeCell ref="L32:M32"/>
    <mergeCell ref="L26:M26"/>
    <mergeCell ref="L28:M28"/>
    <mergeCell ref="L29:M29"/>
    <mergeCell ref="F29:G29"/>
    <mergeCell ref="H29:I29"/>
    <mergeCell ref="J29:K29"/>
    <mergeCell ref="F31:G31"/>
    <mergeCell ref="H31:I31"/>
    <mergeCell ref="J31:K31"/>
    <mergeCell ref="N13:O13"/>
    <mergeCell ref="N14:O14"/>
    <mergeCell ref="N16:O16"/>
    <mergeCell ref="N18:O18"/>
    <mergeCell ref="N19:O19"/>
    <mergeCell ref="N20:O20"/>
    <mergeCell ref="N21:O21"/>
    <mergeCell ref="C15:O15"/>
    <mergeCell ref="C17:O17"/>
    <mergeCell ref="L18:M18"/>
    <mergeCell ref="L19:M19"/>
    <mergeCell ref="L20:M20"/>
    <mergeCell ref="L21:M21"/>
    <mergeCell ref="L23:M23"/>
    <mergeCell ref="L10:M10"/>
    <mergeCell ref="L12:M12"/>
    <mergeCell ref="L13:M13"/>
    <mergeCell ref="L14:M14"/>
    <mergeCell ref="L16:M16"/>
    <mergeCell ref="C22:O22"/>
    <mergeCell ref="N23:O23"/>
    <mergeCell ref="N24:O24"/>
    <mergeCell ref="J19:K19"/>
    <mergeCell ref="F20:G20"/>
    <mergeCell ref="H20:I20"/>
    <mergeCell ref="J20:K20"/>
    <mergeCell ref="F21:G21"/>
    <mergeCell ref="H21:I21"/>
    <mergeCell ref="J21:K21"/>
    <mergeCell ref="F23:G23"/>
    <mergeCell ref="H23:I23"/>
    <mergeCell ref="J23:K23"/>
    <mergeCell ref="F24:G24"/>
    <mergeCell ref="H24:I24"/>
    <mergeCell ref="J24:K24"/>
    <mergeCell ref="N10:O10"/>
    <mergeCell ref="N12:O12"/>
    <mergeCell ref="N25:O25"/>
    <mergeCell ref="L24:M24"/>
    <mergeCell ref="L25:M25"/>
    <mergeCell ref="C10:E11"/>
    <mergeCell ref="F10:G10"/>
    <mergeCell ref="H10:I10"/>
    <mergeCell ref="J10:K10"/>
    <mergeCell ref="F12:G12"/>
    <mergeCell ref="H12:I12"/>
    <mergeCell ref="J12:K12"/>
    <mergeCell ref="F18:G18"/>
    <mergeCell ref="H18:I18"/>
    <mergeCell ref="J18:K18"/>
    <mergeCell ref="F13:G13"/>
    <mergeCell ref="H13:I13"/>
    <mergeCell ref="J13:K13"/>
    <mergeCell ref="F14:G14"/>
    <mergeCell ref="H14:I14"/>
    <mergeCell ref="J14:K14"/>
    <mergeCell ref="F16:G16"/>
    <mergeCell ref="H16:I16"/>
    <mergeCell ref="J16:K16"/>
    <mergeCell ref="F19:G19"/>
    <mergeCell ref="H19:I19"/>
    <mergeCell ref="F25:G25"/>
    <mergeCell ref="H25:I25"/>
    <mergeCell ref="J25:K25"/>
    <mergeCell ref="F26:G26"/>
    <mergeCell ref="H26:I26"/>
    <mergeCell ref="J26:K26"/>
    <mergeCell ref="F28:G28"/>
    <mergeCell ref="H28:I28"/>
    <mergeCell ref="J28:K28"/>
    <mergeCell ref="C40:M40"/>
    <mergeCell ref="F32:G32"/>
    <mergeCell ref="H32:I32"/>
    <mergeCell ref="J32:K32"/>
    <mergeCell ref="F34:G34"/>
    <mergeCell ref="H34:I34"/>
    <mergeCell ref="J34:K34"/>
    <mergeCell ref="F35:G35"/>
    <mergeCell ref="H35:I35"/>
    <mergeCell ref="J35:K35"/>
    <mergeCell ref="C38:M38"/>
    <mergeCell ref="C39:M39"/>
    <mergeCell ref="C36:O36"/>
    <mergeCell ref="N34:O34"/>
    <mergeCell ref="N35:O35"/>
    <mergeCell ref="L34:M34"/>
    <mergeCell ref="L35:M35"/>
    <mergeCell ref="C47:M47"/>
    <mergeCell ref="C48:M48"/>
    <mergeCell ref="C49:M49"/>
    <mergeCell ref="C41:M41"/>
    <mergeCell ref="C42:M42"/>
    <mergeCell ref="C43:M43"/>
    <mergeCell ref="C44:M44"/>
    <mergeCell ref="C45:M45"/>
    <mergeCell ref="C46:M4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4B22E-8F55-4645-95BE-220CD0AD1700}">
  <dimension ref="B1:O32"/>
  <sheetViews>
    <sheetView tabSelected="1" zoomScale="90" zoomScaleNormal="90" workbookViewId="0">
      <selection activeCell="F10" sqref="F10:G10"/>
    </sheetView>
  </sheetViews>
  <sheetFormatPr defaultColWidth="8.81640625" defaultRowHeight="14.5" x14ac:dyDescent="0.35"/>
  <cols>
    <col min="1" max="1" width="8.81640625" style="4"/>
    <col min="2" max="2" width="5.453125" style="1" customWidth="1"/>
    <col min="3" max="3" width="48" style="2" customWidth="1"/>
    <col min="4" max="4" width="4.54296875" style="3" customWidth="1"/>
    <col min="5" max="5" width="18.453125" style="2" customWidth="1"/>
    <col min="6" max="6" width="9.81640625" style="4" customWidth="1"/>
    <col min="7" max="7" width="9.08984375" style="1" customWidth="1"/>
    <col min="8" max="8" width="9.81640625" style="1" customWidth="1"/>
    <col min="9" max="9" width="8.36328125" style="1" customWidth="1"/>
    <col min="10" max="10" width="10.81640625" style="1" customWidth="1"/>
    <col min="11" max="11" width="8.7265625" style="1" customWidth="1"/>
    <col min="12" max="12" width="10.81640625" style="1" customWidth="1"/>
    <col min="13" max="13" width="9.08984375" style="1" customWidth="1"/>
    <col min="14" max="14" width="10.81640625" style="1" customWidth="1"/>
    <col min="15" max="15" width="8.26953125" style="1" customWidth="1"/>
    <col min="16" max="16384" width="8.81640625" style="4"/>
  </cols>
  <sheetData>
    <row r="1" spans="3:15" ht="15" thickBot="1" x14ac:dyDescent="0.4">
      <c r="C1" s="60" t="s">
        <v>95</v>
      </c>
    </row>
    <row r="2" spans="3:15" x14ac:dyDescent="0.35">
      <c r="C2" s="5" t="s">
        <v>0</v>
      </c>
      <c r="D2" s="6"/>
      <c r="E2" s="7"/>
      <c r="F2" s="8"/>
      <c r="G2" s="49"/>
      <c r="H2" s="49"/>
      <c r="I2" s="49"/>
      <c r="J2" s="49"/>
      <c r="K2" s="49"/>
      <c r="L2" s="49"/>
      <c r="M2" s="49"/>
      <c r="N2" s="49"/>
      <c r="O2" s="50"/>
    </row>
    <row r="3" spans="3:15" x14ac:dyDescent="0.35">
      <c r="C3" s="10" t="s">
        <v>1</v>
      </c>
      <c r="D3" s="11" t="s">
        <v>2</v>
      </c>
      <c r="E3" s="61">
        <v>10000000</v>
      </c>
      <c r="F3" s="12"/>
      <c r="G3" s="51"/>
      <c r="H3" s="51"/>
      <c r="I3" s="51"/>
      <c r="J3" s="51"/>
      <c r="K3" s="51"/>
      <c r="L3" s="51"/>
      <c r="M3" s="51"/>
      <c r="N3" s="51"/>
      <c r="O3" s="52"/>
    </row>
    <row r="4" spans="3:15" x14ac:dyDescent="0.35">
      <c r="C4" s="10" t="s">
        <v>3</v>
      </c>
      <c r="D4" s="11" t="s">
        <v>4</v>
      </c>
      <c r="E4" s="62">
        <v>2.5000000000000001E-2</v>
      </c>
      <c r="F4" s="12"/>
      <c r="G4" s="51"/>
      <c r="H4" s="51"/>
      <c r="I4" s="51"/>
      <c r="J4" s="51"/>
      <c r="K4" s="51"/>
      <c r="L4" s="51"/>
      <c r="M4" s="51"/>
      <c r="N4" s="51"/>
      <c r="O4" s="52"/>
    </row>
    <row r="5" spans="3:15" x14ac:dyDescent="0.35">
      <c r="C5" s="10" t="s">
        <v>79</v>
      </c>
      <c r="D5" s="11" t="s">
        <v>6</v>
      </c>
      <c r="E5" s="62">
        <v>0</v>
      </c>
      <c r="F5" s="12"/>
      <c r="G5" s="51"/>
      <c r="H5" s="51"/>
      <c r="I5" s="51"/>
      <c r="J5" s="51"/>
      <c r="K5" s="51"/>
      <c r="L5" s="51"/>
      <c r="M5" s="51"/>
      <c r="N5" s="51"/>
      <c r="O5" s="52"/>
    </row>
    <row r="6" spans="3:15" x14ac:dyDescent="0.35">
      <c r="C6" s="10" t="s">
        <v>11</v>
      </c>
      <c r="D6" s="11" t="s">
        <v>8</v>
      </c>
      <c r="E6" s="62">
        <v>2.0999999999999999E-3</v>
      </c>
      <c r="F6" s="12"/>
      <c r="G6" s="51"/>
      <c r="H6" s="51"/>
      <c r="I6" s="51"/>
      <c r="J6" s="51"/>
      <c r="K6" s="51"/>
      <c r="L6" s="51"/>
      <c r="M6" s="51"/>
      <c r="N6" s="51"/>
      <c r="O6" s="52"/>
    </row>
    <row r="7" spans="3:15" ht="15" thickBot="1" x14ac:dyDescent="0.4">
      <c r="C7" s="38"/>
      <c r="D7" s="24"/>
      <c r="E7" s="25"/>
      <c r="F7" s="15"/>
      <c r="G7" s="53"/>
      <c r="H7" s="53"/>
      <c r="I7" s="53"/>
      <c r="J7" s="53"/>
      <c r="K7" s="53"/>
      <c r="L7" s="53"/>
      <c r="M7" s="53"/>
      <c r="N7" s="53"/>
      <c r="O7" s="54"/>
    </row>
    <row r="8" spans="3:15" x14ac:dyDescent="0.35">
      <c r="C8" s="92" t="s">
        <v>80</v>
      </c>
      <c r="D8" s="93"/>
      <c r="E8" s="93"/>
      <c r="F8" s="89" t="s">
        <v>90</v>
      </c>
      <c r="G8" s="89"/>
      <c r="H8" s="89" t="s">
        <v>91</v>
      </c>
      <c r="I8" s="89"/>
      <c r="J8" s="89" t="s">
        <v>92</v>
      </c>
      <c r="K8" s="89"/>
      <c r="L8" s="89" t="s">
        <v>93</v>
      </c>
      <c r="M8" s="89"/>
      <c r="N8" s="89" t="s">
        <v>94</v>
      </c>
      <c r="O8" s="96"/>
    </row>
    <row r="9" spans="3:15" x14ac:dyDescent="0.35">
      <c r="C9" s="103"/>
      <c r="D9" s="104"/>
      <c r="E9" s="104"/>
      <c r="F9" s="17" t="str">
        <f>IF(G9&gt;=0,"Gain of","Loss of")</f>
        <v>Gain of</v>
      </c>
      <c r="G9" s="65">
        <v>0.25</v>
      </c>
      <c r="H9" s="55" t="str">
        <f>IF(I9&gt;=0,"Gain of","Loss of")</f>
        <v>Loss of</v>
      </c>
      <c r="I9" s="65">
        <v>-0.1</v>
      </c>
      <c r="J9" s="55" t="str">
        <f>IF(K9&gt;=0,"Gain of","Loss of")</f>
        <v>Gain of</v>
      </c>
      <c r="K9" s="65">
        <v>0.21</v>
      </c>
      <c r="L9" s="55" t="str">
        <f>IF(M9&gt;=0,"Gain of","Loss of")</f>
        <v>Gain of</v>
      </c>
      <c r="M9" s="66">
        <v>0.2</v>
      </c>
      <c r="N9" s="55" t="str">
        <f>IF(O9&gt;=0,"Gain of","Loss of")</f>
        <v>Loss of</v>
      </c>
      <c r="O9" s="67">
        <v>-0.1</v>
      </c>
    </row>
    <row r="10" spans="3:15" x14ac:dyDescent="0.35">
      <c r="C10" s="10" t="s">
        <v>14</v>
      </c>
      <c r="D10" s="11" t="s">
        <v>15</v>
      </c>
      <c r="E10" s="18" t="s">
        <v>16</v>
      </c>
      <c r="F10" s="79">
        <f>+$E$3</f>
        <v>10000000</v>
      </c>
      <c r="G10" s="79"/>
      <c r="H10" s="122">
        <f>F21</f>
        <v>12195715.625</v>
      </c>
      <c r="I10" s="122"/>
      <c r="J10" s="122">
        <f>H21</f>
        <v>10662773.625051172</v>
      </c>
      <c r="K10" s="122"/>
      <c r="L10" s="122">
        <f>J21</f>
        <v>12583272.572877871</v>
      </c>
      <c r="M10" s="122"/>
      <c r="N10" s="122">
        <f>L21</f>
        <v>14725546.41604704</v>
      </c>
      <c r="O10" s="124"/>
    </row>
    <row r="11" spans="3:15" x14ac:dyDescent="0.35">
      <c r="C11" s="10" t="s">
        <v>17</v>
      </c>
      <c r="D11" s="11" t="s">
        <v>18</v>
      </c>
      <c r="E11" s="18" t="s">
        <v>19</v>
      </c>
      <c r="F11" s="79">
        <f>F10*G9</f>
        <v>2500000</v>
      </c>
      <c r="G11" s="79"/>
      <c r="H11" s="122">
        <f>H10*I9</f>
        <v>-1219571.5625</v>
      </c>
      <c r="I11" s="122"/>
      <c r="J11" s="123">
        <f>J10*K9</f>
        <v>2239182.4612607462</v>
      </c>
      <c r="K11" s="123"/>
      <c r="L11" s="123">
        <f>L10*M9</f>
        <v>2516654.5145755745</v>
      </c>
      <c r="M11" s="123"/>
      <c r="N11" s="123">
        <f>N10*O9</f>
        <v>-1472554.6416047041</v>
      </c>
      <c r="O11" s="125"/>
    </row>
    <row r="12" spans="3:15" x14ac:dyDescent="0.35">
      <c r="C12" s="10" t="s">
        <v>20</v>
      </c>
      <c r="D12" s="11" t="s">
        <v>21</v>
      </c>
      <c r="E12" s="18" t="s">
        <v>22</v>
      </c>
      <c r="F12" s="79">
        <f>F10+F11</f>
        <v>12500000</v>
      </c>
      <c r="G12" s="79"/>
      <c r="H12" s="122">
        <f>H10+H11</f>
        <v>10976144.0625</v>
      </c>
      <c r="I12" s="122"/>
      <c r="J12" s="122">
        <f>J10+J11</f>
        <v>12901956.086311918</v>
      </c>
      <c r="K12" s="122"/>
      <c r="L12" s="122">
        <f>L10+L11</f>
        <v>15099927.087453445</v>
      </c>
      <c r="M12" s="122"/>
      <c r="N12" s="122">
        <f>N10+N11</f>
        <v>13252991.774442336</v>
      </c>
      <c r="O12" s="124"/>
    </row>
    <row r="13" spans="3:15" x14ac:dyDescent="0.35">
      <c r="C13" s="127"/>
      <c r="D13" s="128"/>
      <c r="E13" s="128"/>
      <c r="F13" s="128"/>
      <c r="G13" s="128"/>
      <c r="H13" s="128"/>
      <c r="I13" s="128"/>
      <c r="J13" s="128"/>
      <c r="K13" s="128"/>
      <c r="L13" s="128"/>
      <c r="M13" s="128"/>
      <c r="N13" s="128"/>
      <c r="O13" s="129"/>
    </row>
    <row r="14" spans="3:15" x14ac:dyDescent="0.35">
      <c r="C14" s="10" t="s">
        <v>81</v>
      </c>
      <c r="D14" s="11" t="s">
        <v>24</v>
      </c>
      <c r="E14" s="18" t="s">
        <v>25</v>
      </c>
      <c r="F14" s="79">
        <f>(F10+F12)/2</f>
        <v>11250000</v>
      </c>
      <c r="G14" s="79"/>
      <c r="H14" s="122">
        <f>(H10+H12)/2</f>
        <v>11585929.84375</v>
      </c>
      <c r="I14" s="122"/>
      <c r="J14" s="122">
        <f>(J10+J12)/2</f>
        <v>11782364.855681546</v>
      </c>
      <c r="K14" s="122"/>
      <c r="L14" s="122">
        <f>(L10+L12)/2</f>
        <v>13841599.830165658</v>
      </c>
      <c r="M14" s="122"/>
      <c r="N14" s="122">
        <f>(N10+N12)/2</f>
        <v>13989269.095244687</v>
      </c>
      <c r="O14" s="124"/>
    </row>
    <row r="15" spans="3:15" x14ac:dyDescent="0.35">
      <c r="C15" s="127"/>
      <c r="D15" s="128"/>
      <c r="E15" s="128"/>
      <c r="F15" s="128"/>
      <c r="G15" s="128"/>
      <c r="H15" s="128"/>
      <c r="I15" s="128"/>
      <c r="J15" s="128"/>
      <c r="K15" s="128"/>
      <c r="L15" s="128"/>
      <c r="M15" s="128"/>
      <c r="N15" s="128"/>
      <c r="O15" s="129"/>
    </row>
    <row r="16" spans="3:15" x14ac:dyDescent="0.35">
      <c r="C16" s="10" t="s">
        <v>26</v>
      </c>
      <c r="D16" s="11" t="s">
        <v>27</v>
      </c>
      <c r="E16" s="18" t="s">
        <v>28</v>
      </c>
      <c r="F16" s="79">
        <f>+F14*-$E$5</f>
        <v>0</v>
      </c>
      <c r="G16" s="79"/>
      <c r="H16" s="122">
        <f>+H14*-$E$5</f>
        <v>0</v>
      </c>
      <c r="I16" s="122"/>
      <c r="J16" s="122">
        <f>+J14*-$E$5</f>
        <v>0</v>
      </c>
      <c r="K16" s="122"/>
      <c r="L16" s="122">
        <f>+L14*-$E$5</f>
        <v>0</v>
      </c>
      <c r="M16" s="122"/>
      <c r="N16" s="122">
        <f>+N14*-$E$5</f>
        <v>0</v>
      </c>
      <c r="O16" s="124"/>
    </row>
    <row r="17" spans="2:15" x14ac:dyDescent="0.35">
      <c r="C17" s="10" t="s">
        <v>11</v>
      </c>
      <c r="D17" s="11" t="s">
        <v>29</v>
      </c>
      <c r="E17" s="18" t="s">
        <v>82</v>
      </c>
      <c r="F17" s="79">
        <f>+F14*-$E$6</f>
        <v>-23625</v>
      </c>
      <c r="G17" s="79"/>
      <c r="H17" s="122">
        <f>+H14*-$E$6</f>
        <v>-24330.452671874998</v>
      </c>
      <c r="I17" s="122"/>
      <c r="J17" s="122">
        <f>+J14*-$E$6</f>
        <v>-24742.966196931244</v>
      </c>
      <c r="K17" s="122"/>
      <c r="L17" s="122">
        <f>+L14*-$E$6</f>
        <v>-29067.359643347882</v>
      </c>
      <c r="M17" s="122"/>
      <c r="N17" s="122">
        <f>+N14*-$E$6</f>
        <v>-29377.46510001384</v>
      </c>
      <c r="O17" s="124"/>
    </row>
    <row r="18" spans="2:15" x14ac:dyDescent="0.35">
      <c r="C18" s="10" t="s">
        <v>31</v>
      </c>
      <c r="D18" s="11" t="s">
        <v>32</v>
      </c>
      <c r="E18" s="14" t="s">
        <v>33</v>
      </c>
      <c r="F18" s="79">
        <f>+(F14+F16+F17)*-$E$4</f>
        <v>-280659.375</v>
      </c>
      <c r="G18" s="79"/>
      <c r="H18" s="122">
        <f>+(H14+H16+H17)*-$E$4</f>
        <v>-289039.98477695318</v>
      </c>
      <c r="I18" s="122"/>
      <c r="J18" s="122">
        <f>+(J14+J16+J17)*-$E$4</f>
        <v>-293940.54723711539</v>
      </c>
      <c r="K18" s="122"/>
      <c r="L18" s="122">
        <f>+(L14+L16+L17)*-$E$4</f>
        <v>-345313.31176305778</v>
      </c>
      <c r="M18" s="122"/>
      <c r="N18" s="122">
        <f>+(N14+N16+N17)*-$E$4</f>
        <v>-348997.29075361683</v>
      </c>
      <c r="O18" s="124"/>
    </row>
    <row r="19" spans="2:15" x14ac:dyDescent="0.35">
      <c r="C19" s="10" t="s">
        <v>83</v>
      </c>
      <c r="D19" s="11" t="s">
        <v>35</v>
      </c>
      <c r="E19" s="14" t="s">
        <v>36</v>
      </c>
      <c r="F19" s="79">
        <f>+F16+F18+F17</f>
        <v>-304284.375</v>
      </c>
      <c r="G19" s="79"/>
      <c r="H19" s="122">
        <f>+H16+H18+H17</f>
        <v>-313370.43744882819</v>
      </c>
      <c r="I19" s="122"/>
      <c r="J19" s="122">
        <f>+J16+J18+J17</f>
        <v>-318683.51343404665</v>
      </c>
      <c r="K19" s="122"/>
      <c r="L19" s="122">
        <f>+L16+L18+L17</f>
        <v>-374380.67140640563</v>
      </c>
      <c r="M19" s="122"/>
      <c r="N19" s="122">
        <f>+N16+N18+N17</f>
        <v>-378374.75585363066</v>
      </c>
      <c r="O19" s="124"/>
    </row>
    <row r="20" spans="2:15" x14ac:dyDescent="0.35">
      <c r="C20" s="127"/>
      <c r="D20" s="128"/>
      <c r="E20" s="128"/>
      <c r="F20" s="128"/>
      <c r="G20" s="128"/>
      <c r="H20" s="128"/>
      <c r="I20" s="128"/>
      <c r="J20" s="128"/>
      <c r="K20" s="128"/>
      <c r="L20" s="128"/>
      <c r="M20" s="128"/>
      <c r="N20" s="128"/>
      <c r="O20" s="129"/>
    </row>
    <row r="21" spans="2:15" x14ac:dyDescent="0.35">
      <c r="C21" s="10" t="s">
        <v>84</v>
      </c>
      <c r="D21" s="11" t="s">
        <v>38</v>
      </c>
      <c r="E21" s="14" t="s">
        <v>39</v>
      </c>
      <c r="F21" s="79">
        <f>F12+F19</f>
        <v>12195715.625</v>
      </c>
      <c r="G21" s="79"/>
      <c r="H21" s="122">
        <f>H12+H19</f>
        <v>10662773.625051172</v>
      </c>
      <c r="I21" s="122"/>
      <c r="J21" s="122">
        <f>J12+J19</f>
        <v>12583272.572877871</v>
      </c>
      <c r="K21" s="122"/>
      <c r="L21" s="122">
        <f>L12+L19</f>
        <v>14725546.41604704</v>
      </c>
      <c r="M21" s="122"/>
      <c r="N21" s="122">
        <f>N12+N19</f>
        <v>12874617.018588705</v>
      </c>
      <c r="O21" s="124"/>
    </row>
    <row r="22" spans="2:15" x14ac:dyDescent="0.35">
      <c r="C22" s="10" t="s">
        <v>58</v>
      </c>
      <c r="D22" s="11" t="s">
        <v>41</v>
      </c>
      <c r="E22" s="14" t="s">
        <v>85</v>
      </c>
      <c r="F22" s="78">
        <f>+F21/F10-1</f>
        <v>0.21957156250000009</v>
      </c>
      <c r="G22" s="78"/>
      <c r="H22" s="115">
        <f>+H21/H10-1</f>
        <v>-0.12569512499999991</v>
      </c>
      <c r="I22" s="115"/>
      <c r="J22" s="115">
        <f>+J21/J10-1</f>
        <v>0.18011251249999982</v>
      </c>
      <c r="K22" s="115"/>
      <c r="L22" s="115">
        <f>+L21/L10-1</f>
        <v>0.17024775000000014</v>
      </c>
      <c r="M22" s="115"/>
      <c r="N22" s="115">
        <f>+N21/N10-1</f>
        <v>-0.12569512500000002</v>
      </c>
      <c r="O22" s="126"/>
    </row>
    <row r="23" spans="2:15" ht="15" thickBot="1" x14ac:dyDescent="0.4">
      <c r="C23" s="32"/>
      <c r="D23" s="33"/>
      <c r="E23" s="34"/>
      <c r="F23" s="35"/>
      <c r="G23" s="56"/>
      <c r="H23" s="56"/>
      <c r="I23" s="56"/>
      <c r="J23" s="56"/>
      <c r="K23" s="56"/>
      <c r="L23" s="56"/>
      <c r="M23" s="56"/>
      <c r="N23" s="56"/>
      <c r="O23" s="57"/>
    </row>
    <row r="24" spans="2:15" ht="15" thickBot="1" x14ac:dyDescent="0.4">
      <c r="B24" s="29"/>
      <c r="C24" s="116" t="s">
        <v>66</v>
      </c>
      <c r="D24" s="117"/>
      <c r="E24" s="117"/>
      <c r="F24" s="117"/>
      <c r="G24" s="117"/>
      <c r="H24" s="117"/>
      <c r="I24" s="117"/>
      <c r="J24" s="117"/>
      <c r="K24" s="118"/>
      <c r="L24" s="58"/>
      <c r="M24" s="58"/>
      <c r="N24" s="58"/>
      <c r="O24" s="58"/>
    </row>
    <row r="25" spans="2:15" s="30" customFormat="1" ht="15" thickBot="1" x14ac:dyDescent="0.4">
      <c r="B25" s="28">
        <v>1</v>
      </c>
      <c r="C25" s="75" t="s">
        <v>67</v>
      </c>
      <c r="D25" s="76"/>
      <c r="E25" s="76"/>
      <c r="F25" s="76"/>
      <c r="G25" s="76"/>
      <c r="H25" s="76"/>
      <c r="I25" s="76"/>
      <c r="J25" s="76"/>
      <c r="K25" s="77"/>
      <c r="L25" s="59"/>
      <c r="M25" s="59"/>
      <c r="N25" s="59"/>
      <c r="O25" s="59"/>
    </row>
    <row r="26" spans="2:15" s="30" customFormat="1" ht="15" thickBot="1" x14ac:dyDescent="0.4">
      <c r="B26" s="28">
        <f t="shared" ref="B26:B31" si="0">+B25+1</f>
        <v>2</v>
      </c>
      <c r="C26" s="75" t="s">
        <v>68</v>
      </c>
      <c r="D26" s="76"/>
      <c r="E26" s="76"/>
      <c r="F26" s="76"/>
      <c r="G26" s="76"/>
      <c r="H26" s="76"/>
      <c r="I26" s="76"/>
      <c r="J26" s="76"/>
      <c r="K26" s="77"/>
      <c r="L26" s="59"/>
      <c r="M26" s="59"/>
      <c r="N26" s="59"/>
      <c r="O26" s="59"/>
    </row>
    <row r="27" spans="2:15" s="30" customFormat="1" ht="15" thickBot="1" x14ac:dyDescent="0.4">
      <c r="B27" s="28">
        <f t="shared" si="0"/>
        <v>3</v>
      </c>
      <c r="C27" s="75" t="s">
        <v>69</v>
      </c>
      <c r="D27" s="76"/>
      <c r="E27" s="76"/>
      <c r="F27" s="76"/>
      <c r="G27" s="76"/>
      <c r="H27" s="76"/>
      <c r="I27" s="76"/>
      <c r="J27" s="76"/>
      <c r="K27" s="77"/>
      <c r="L27" s="59"/>
      <c r="M27" s="59"/>
      <c r="N27" s="59"/>
      <c r="O27" s="59"/>
    </row>
    <row r="28" spans="2:15" s="30" customFormat="1" ht="15" thickBot="1" x14ac:dyDescent="0.4">
      <c r="B28" s="28">
        <f t="shared" si="0"/>
        <v>4</v>
      </c>
      <c r="C28" s="119" t="s">
        <v>70</v>
      </c>
      <c r="D28" s="120"/>
      <c r="E28" s="120"/>
      <c r="F28" s="120"/>
      <c r="G28" s="120"/>
      <c r="H28" s="120"/>
      <c r="I28" s="120"/>
      <c r="J28" s="120"/>
      <c r="K28" s="121"/>
      <c r="L28" s="59"/>
      <c r="M28" s="59"/>
      <c r="N28" s="59"/>
      <c r="O28" s="59"/>
    </row>
    <row r="29" spans="2:15" s="30" customFormat="1" ht="15" thickBot="1" x14ac:dyDescent="0.4">
      <c r="B29" s="28">
        <f t="shared" si="0"/>
        <v>5</v>
      </c>
      <c r="C29" s="75" t="s">
        <v>71</v>
      </c>
      <c r="D29" s="76"/>
      <c r="E29" s="76"/>
      <c r="F29" s="76"/>
      <c r="G29" s="76"/>
      <c r="H29" s="76"/>
      <c r="I29" s="76"/>
      <c r="J29" s="76"/>
      <c r="K29" s="77"/>
      <c r="L29" s="59"/>
      <c r="M29" s="59"/>
      <c r="N29" s="59"/>
      <c r="O29" s="59"/>
    </row>
    <row r="30" spans="2:15" s="30" customFormat="1" ht="15" thickBot="1" x14ac:dyDescent="0.4">
      <c r="B30" s="28">
        <f t="shared" si="0"/>
        <v>6</v>
      </c>
      <c r="C30" s="75" t="s">
        <v>72</v>
      </c>
      <c r="D30" s="76"/>
      <c r="E30" s="76"/>
      <c r="F30" s="76"/>
      <c r="G30" s="76"/>
      <c r="H30" s="76"/>
      <c r="I30" s="76"/>
      <c r="J30" s="76"/>
      <c r="K30" s="77"/>
      <c r="L30" s="59"/>
      <c r="M30" s="59"/>
      <c r="N30" s="59"/>
      <c r="O30" s="59"/>
    </row>
    <row r="31" spans="2:15" s="30" customFormat="1" ht="15" thickBot="1" x14ac:dyDescent="0.4">
      <c r="B31" s="28">
        <f t="shared" si="0"/>
        <v>7</v>
      </c>
      <c r="C31" s="75" t="s">
        <v>77</v>
      </c>
      <c r="D31" s="76"/>
      <c r="E31" s="76"/>
      <c r="F31" s="76"/>
      <c r="G31" s="76"/>
      <c r="H31" s="76"/>
      <c r="I31" s="76"/>
      <c r="J31" s="76"/>
      <c r="K31" s="77"/>
      <c r="L31" s="59"/>
      <c r="M31" s="59"/>
      <c r="N31" s="59"/>
      <c r="O31" s="59"/>
    </row>
    <row r="32" spans="2:15" ht="15" thickBot="1" x14ac:dyDescent="0.4">
      <c r="B32" s="28">
        <v>8</v>
      </c>
      <c r="C32" s="75" t="s">
        <v>78</v>
      </c>
      <c r="D32" s="76"/>
      <c r="E32" s="76"/>
      <c r="F32" s="76"/>
      <c r="G32" s="76"/>
      <c r="H32" s="76"/>
      <c r="I32" s="76"/>
      <c r="J32" s="76"/>
      <c r="K32" s="77"/>
      <c r="L32" s="59"/>
      <c r="M32" s="59"/>
      <c r="N32" s="59"/>
      <c r="O32" s="59"/>
    </row>
  </sheetData>
  <sheetProtection algorithmName="SHA-512" hashValue="WGczmMHnAHITCt/3KTckZiooO3acfoxyI64uI2rb6HxhtZqFpOTS/1+BkvQIanvCXw6Ww8aSq9D6nxl7LC1JNQ==" saltValue="NoYzUcTXAMWIVRDUCCeDqw==" spinCount="100000" sheet="1" objects="1" scenarios="1"/>
  <mergeCells count="68">
    <mergeCell ref="L22:M22"/>
    <mergeCell ref="N8:O8"/>
    <mergeCell ref="N10:O10"/>
    <mergeCell ref="N11:O11"/>
    <mergeCell ref="N12:O12"/>
    <mergeCell ref="N14:O14"/>
    <mergeCell ref="N16:O16"/>
    <mergeCell ref="N17:O17"/>
    <mergeCell ref="N18:O18"/>
    <mergeCell ref="N19:O19"/>
    <mergeCell ref="N21:O21"/>
    <mergeCell ref="N22:O22"/>
    <mergeCell ref="C13:O13"/>
    <mergeCell ref="C20:O20"/>
    <mergeCell ref="C15:O15"/>
    <mergeCell ref="L16:M16"/>
    <mergeCell ref="L17:M17"/>
    <mergeCell ref="L18:M18"/>
    <mergeCell ref="L19:M19"/>
    <mergeCell ref="L21:M21"/>
    <mergeCell ref="L8:M8"/>
    <mergeCell ref="L10:M10"/>
    <mergeCell ref="L11:M11"/>
    <mergeCell ref="L12:M12"/>
    <mergeCell ref="L14:M14"/>
    <mergeCell ref="C8:E9"/>
    <mergeCell ref="F8:G8"/>
    <mergeCell ref="H8:I8"/>
    <mergeCell ref="J8:K8"/>
    <mergeCell ref="F10:G10"/>
    <mergeCell ref="H10:I10"/>
    <mergeCell ref="J10:K10"/>
    <mergeCell ref="F16:G16"/>
    <mergeCell ref="H16:I16"/>
    <mergeCell ref="J16:K16"/>
    <mergeCell ref="F11:G11"/>
    <mergeCell ref="H11:I11"/>
    <mergeCell ref="J11:K11"/>
    <mergeCell ref="F12:G12"/>
    <mergeCell ref="H12:I12"/>
    <mergeCell ref="J12:K12"/>
    <mergeCell ref="F14:G14"/>
    <mergeCell ref="H14:I14"/>
    <mergeCell ref="J14:K14"/>
    <mergeCell ref="F17:G17"/>
    <mergeCell ref="H17:I17"/>
    <mergeCell ref="J17:K17"/>
    <mergeCell ref="F18:G18"/>
    <mergeCell ref="H18:I18"/>
    <mergeCell ref="J18:K18"/>
    <mergeCell ref="F19:G19"/>
    <mergeCell ref="H19:I19"/>
    <mergeCell ref="J19:K19"/>
    <mergeCell ref="F21:G21"/>
    <mergeCell ref="H21:I21"/>
    <mergeCell ref="J21:K21"/>
    <mergeCell ref="C32:K32"/>
    <mergeCell ref="F22:G22"/>
    <mergeCell ref="H22:I22"/>
    <mergeCell ref="J22:K22"/>
    <mergeCell ref="C24:K24"/>
    <mergeCell ref="C25:K25"/>
    <mergeCell ref="C26:K26"/>
    <mergeCell ref="C27:K27"/>
    <mergeCell ref="C28:K28"/>
    <mergeCell ref="C29:K29"/>
    <mergeCell ref="C30:K30"/>
    <mergeCell ref="C31:K3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DF8BA0340B59B41983C0266CC3A918D" ma:contentTypeVersion="11" ma:contentTypeDescription="Create a new document." ma:contentTypeScope="" ma:versionID="5deb073011da6f5e755941da9ac61e45">
  <xsd:schema xmlns:xsd="http://www.w3.org/2001/XMLSchema" xmlns:xs="http://www.w3.org/2001/XMLSchema" xmlns:p="http://schemas.microsoft.com/office/2006/metadata/properties" xmlns:ns3="669db82b-0e77-4664-9d67-f6a0659f8995" xmlns:ns4="2068a0c3-6ff3-4b0b-9028-88a36d8d6f5b" targetNamespace="http://schemas.microsoft.com/office/2006/metadata/properties" ma:root="true" ma:fieldsID="80402fe46ed40624817beb7fbc7fae6b" ns3:_="" ns4:_="">
    <xsd:import namespace="669db82b-0e77-4664-9d67-f6a0659f8995"/>
    <xsd:import namespace="2068a0c3-6ff3-4b0b-9028-88a36d8d6f5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_activity" minOccurs="0"/>
                <xsd:element ref="ns4:MediaServiceDateTaken" minOccurs="0"/>
                <xsd:element ref="ns4:MediaServiceObjectDetectorVersions" minOccurs="0"/>
                <xsd:element ref="ns4:MediaServiceAutoTags" minOccurs="0"/>
                <xsd:element ref="ns4:MediaLengthInSecond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db82b-0e77-4664-9d67-f6a0659f899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68a0c3-6ff3-4b0b-9028-88a36d8d6f5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2068a0c3-6ff3-4b0b-9028-88a36d8d6f5b" xsi:nil="true"/>
  </documentManagement>
</p:properties>
</file>

<file path=customXml/itemProps1.xml><?xml version="1.0" encoding="utf-8"?>
<ds:datastoreItem xmlns:ds="http://schemas.openxmlformats.org/officeDocument/2006/customXml" ds:itemID="{F55E341E-16AC-4641-AA6A-B3A4916594DF}">
  <ds:schemaRefs>
    <ds:schemaRef ds:uri="http://schemas.microsoft.com/sharepoint/v3/contenttype/forms"/>
  </ds:schemaRefs>
</ds:datastoreItem>
</file>

<file path=customXml/itemProps2.xml><?xml version="1.0" encoding="utf-8"?>
<ds:datastoreItem xmlns:ds="http://schemas.openxmlformats.org/officeDocument/2006/customXml" ds:itemID="{4AE5A02B-5260-45E5-BD39-C28B9F2786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db82b-0e77-4664-9d67-f6a0659f8995"/>
    <ds:schemaRef ds:uri="2068a0c3-6ff3-4b0b-9028-88a36d8d6f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4FE7FD-8F49-4E8A-A279-71C54CECA1ED}">
  <ds:schemaRefs>
    <ds:schemaRef ds:uri="http://purl.org/dc/dcmitype/"/>
    <ds:schemaRef ds:uri="2068a0c3-6ff3-4b0b-9028-88a36d8d6f5b"/>
    <ds:schemaRef ds:uri="http://schemas.microsoft.com/office/2006/metadata/properties"/>
    <ds:schemaRef ds:uri="http://schemas.microsoft.com/office/infopath/2007/PartnerControls"/>
    <ds:schemaRef ds:uri="http://purl.org/dc/terms/"/>
    <ds:schemaRef ds:uri="http://schemas.microsoft.com/office/2006/documentManagement/types"/>
    <ds:schemaRef ds:uri="http://purl.org/dc/elements/1.1/"/>
    <ds:schemaRef ds:uri="http://schemas.openxmlformats.org/package/2006/metadata/core-properties"/>
    <ds:schemaRef ds:uri="669db82b-0e77-4664-9d67-f6a0659f8995"/>
    <ds:schemaRef ds:uri="http://www.w3.org/XML/1998/namespace"/>
  </ds:schemaRefs>
</ds:datastoreItem>
</file>

<file path=docMetadata/LabelInfo.xml><?xml version="1.0" encoding="utf-8"?>
<clbl:labelList xmlns:clbl="http://schemas.microsoft.com/office/2020/mipLabelMetadata">
  <clbl:label id="{1ca6f102-9100-4b18-b38a-d927f8bbf441}" enabled="0" method="" siteId="{1ca6f102-9100-4b18-b38a-d927f8bbf44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PLAN - A </vt:lpstr>
      <vt:lpstr>PLAN - B</vt:lpstr>
      <vt:lpstr>PLAN - C</vt:lpstr>
      <vt:lpstr>PLAN - 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Prachi PATIL</dc:creator>
  <cp:lastModifiedBy>Hemanshu SANGHVI</cp:lastModifiedBy>
  <dcterms:created xsi:type="dcterms:W3CDTF">2024-09-19T09:42:01Z</dcterms:created>
  <dcterms:modified xsi:type="dcterms:W3CDTF">2025-10-08T12:11:51Z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0x010100EDF8BA0340B59B41983C0266CC3A918D</vt:lpwstr>
  </property>
</Properties>
</file>